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2"/>
  </bookViews>
  <sheets>
    <sheet name="Race(3)" sheetId="1" r:id="rId1"/>
    <sheet name="Race(2)" sheetId="2" r:id="rId2"/>
    <sheet name="Race(1)" sheetId="3" r:id="rId3"/>
    <sheet name="Overall-Results" sheetId="4" r:id="rId4"/>
    <sheet name="Instructions" sheetId="5" r:id="rId5"/>
    <sheet name="Beaufort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<sst xmlns="http://schemas.openxmlformats.org/spreadsheetml/2006/main" count="465" uniqueCount="281">
  <si>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</si>
  <si>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</si>
  <si>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</si>
  <si>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</si>
  <si>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</si>
  <si>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</si>
  <si>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</si>
  <si>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</si>
  <si>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</si>
  <si>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</si>
  <si>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</si>
  <si>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</si>
  <si>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</si>
  <si>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</si>
  <si>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</si>
  <si>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</si>
  <si>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</si>
  <si>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</si>
  <si>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</si>
  <si>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</si>
  <si>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</si>
  <si>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</si>
  <si>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</si>
  <si>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</si>
  <si>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</si>
  <si>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</si>
  <si>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</si>
  <si>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</si>
  <si>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</si>
  <si>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</si>
  <si>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</si>
  <si>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</si>
  <si>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</si>
  <si>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</si>
  <si>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</si>
  <si>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</si>
  <si>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</si>
  <si>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</si>
  <si>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</si>
  <si>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</si>
  <si>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</si>
  <si>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</si>
  <si>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</si>
  <si>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</si>
  <si>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</si>
  <si>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</si>
  <si>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</si>
  <si>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</si>
  <si>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</si>
  <si>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</si>
  <si>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</si>
  <si>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</si>
  <si>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</si>
  <si>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</si>
  <si>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</si>
  <si>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</si>
  <si>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</si>
  <si>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</si>
  <si>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</si>
  <si>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</si>
  <si>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</si>
  <si>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</si>
  <si>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</si>
  <si>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</si>
  <si>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</si>
  <si>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</si>
  <si>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</si>
  <si>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</si>
  <si>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</si>
  <si>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</si>
  <si>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</si>
  <si>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</si>
  <si>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</si>
  <si>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</si>
  <si>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</si>
  <si>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</si>
  <si>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</si>
  <si>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</si>
  <si>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</si>
  <si>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</si>
  <si>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</si>
  <si>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</si>
  <si>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</si>
  <si>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</si>
  <si>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</si>
  <si>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</si>
  <si>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</si>
  <si>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</si>
  <si>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</si>
  <si>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</si>
  <si>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</si>
  <si>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</si>
  <si>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</si>
  <si>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</si>
  <si>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</si>
  <si>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</si>
  <si>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</si>
  <si>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</si>
  <si>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</si>
  <si>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</si>
  <si>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</si>
  <si>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</si>
  <si>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</si>
  <si>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</si>
  <si>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</si>
  <si>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</si>
  <si>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</si>
  <si>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</si>
  <si>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</si>
  <si>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</si>
  <si>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</si>
  <si>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</si>
  <si>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</si>
  <si>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</si>
  <si>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</si>
  <si>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</si>
  <si>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</si>
  <si>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</si>
  <si>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</si>
  <si>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</si>
  <si>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</si>
  <si>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</si>
  <si>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</si>
  <si>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</si>
  <si>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</si>
  <si>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</si>
  <si>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</si>
  <si>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</si>
  <si>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</si>
  <si>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</si>
  <si>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</si>
  <si>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</si>
  <si>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</si>
  <si>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</si>
  <si>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</si>
  <si>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</si>
  <si>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</si>
  <si>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</si>
  <si>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</si>
  <si>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</si>
  <si>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</si>
  <si>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</si>
  <si>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</si>
  <si>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</si>
  <si>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</si>
  <si>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</si>
  <si>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</si>
  <si>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</si>
  <si>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</si>
  <si>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</si>
  <si>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</si>
  <si>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</si>
  <si>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</si>
  <si>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</si>
  <si>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</si>
  <si>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</si>
  <si>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</si>
  <si>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</si>
  <si>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</si>
  <si>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</si>
  <si>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</si>
  <si>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</si>
  <si>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</si>
  <si>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</si>
  <si>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Bob Jopson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</si>
  <si>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</si>
  <si>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</si>
  <si>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</si>
  <si>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</si>
  <si>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</si>
  <si>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</si>
  <si>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</si>
  <si>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</si>
  <si>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</si>
  <si>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</si>
  <si>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</si>
  <si>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</si>
  <si>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</si>
  <si>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</si>
  <si>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</si>
  <si>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</si>
  <si>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</si>
  <si>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</si>
  <si>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</si>
  <si>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</si>
  <si>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</si>
  <si>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</si>
  <si>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</si>
  <si>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</si>
  <si>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</si>
  <si>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</si>
  <si>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</si>
  <si>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</si>
  <si>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</si>
  <si>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</si>
  <si>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</si>
  <si>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</si>
  <si>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</si>
  <si>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</si>
  <si>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</si>
  <si>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</si>
  <si>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</si>
  <si>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</si>
  <si>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</si>
  <si>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</si>
  <si>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</si>
  <si>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</si>
  <si>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</si>
  <si>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</si>
  <si>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</si>
  <si>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</si>
  <si>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</si>
  <si>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</si>
  <si>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</si>
  <si>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</si>
  <si>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</si>
  <si>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</si>
  <si>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</si>
  <si>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</si>
  <si>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</si>
  <si>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</si>
  <si>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</si>
  <si>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</si>
  <si>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Mark Modderman</t>
  </si>
  <si>
    <t>Scott Rathburn</t>
  </si>
  <si>
    <t>Peter Shearer</t>
  </si>
  <si>
    <t>Wolfgang Kornwebel</t>
  </si>
  <si>
    <t>Grace</t>
  </si>
  <si>
    <t>Wt %</t>
  </si>
  <si>
    <t>F-27 Tri                             All Sails</t>
  </si>
  <si>
    <t>HFX1 S</t>
  </si>
  <si>
    <t>ACF</t>
  </si>
  <si>
    <t>John Keenan</t>
  </si>
  <si>
    <t>Juan Eroles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</si>
  <si>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</si>
  <si>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</si>
  <si>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</si>
  <si>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</si>
  <si>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</si>
  <si>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</si>
  <si>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</si>
  <si>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</si>
  <si>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</si>
  <si>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</si>
  <si>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</si>
  <si>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</si>
  <si>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</si>
  <si>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</si>
  <si>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</si>
  <si>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</si>
  <si>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</si>
  <si>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</si>
  <si>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</si>
  <si>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</si>
  <si>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</si>
  <si>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</si>
  <si>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</si>
  <si>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</si>
  <si>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</si>
  <si>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</si>
  <si>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</si>
  <si>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</si>
  <si>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</si>
  <si>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</si>
  <si>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</si>
  <si>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</si>
  <si>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</si>
  <si>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</si>
  <si>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</si>
  <si>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</si>
  <si>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</si>
  <si>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</si>
  <si>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</si>
  <si>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</si>
  <si>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</si>
  <si>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</si>
  <si>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Chris Bolle</t>
  </si>
  <si>
    <t>F16s</t>
  </si>
  <si>
    <t>Sail 496</t>
  </si>
  <si>
    <t>Sail 3529</t>
  </si>
  <si>
    <t>Sail 78735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</si>
</sst>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5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167" fontId="3" fillId="0" borderId="14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2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58" bestFit="1" customWidth="1"/>
    <col min="2" max="2" width="5.421875" style="58" bestFit="1" customWidth="1"/>
    <col min="3" max="3" width="17.57421875" style="59" bestFit="1" customWidth="1"/>
    <col min="4" max="4" width="15.7109375" style="59" bestFit="1" customWidth="1"/>
    <col min="5" max="5" width="6.7109375" style="60" bestFit="1" customWidth="1"/>
    <col min="6" max="6" width="6.140625" style="59" bestFit="1" customWidth="1"/>
    <col min="7" max="7" width="4.00390625" style="59" bestFit="1" customWidth="1"/>
    <col min="8" max="9" width="3.28125" style="59" bestFit="1" customWidth="1"/>
    <col min="10" max="10" width="3.7109375" style="59" bestFit="1" customWidth="1"/>
    <col min="11" max="11" width="3.8515625" style="59" bestFit="1" customWidth="1"/>
    <col min="12" max="12" width="7.7109375" style="81" bestFit="1" customWidth="1"/>
    <col min="13" max="13" width="7.7109375" style="82" bestFit="1" customWidth="1"/>
    <col min="14" max="14" width="6.7109375" style="82" bestFit="1" customWidth="1"/>
    <col min="15" max="15" width="7.7109375" style="82" bestFit="1" customWidth="1"/>
    <col min="16" max="16" width="3.7109375" style="59" bestFit="1" customWidth="1"/>
    <col min="17" max="17" width="3.8515625" style="59" bestFit="1" customWidth="1"/>
    <col min="18" max="18" width="4.00390625" style="59" bestFit="1" customWidth="1"/>
    <col min="19" max="19" width="7.7109375" style="83" bestFit="1" customWidth="1"/>
    <col min="20" max="20" width="9.28125" style="83" bestFit="1" customWidth="1"/>
    <col min="21" max="16384" width="8.7109375" style="59" customWidth="1"/>
  </cols>
  <sheetData>
    <row r="1" spans="1:20" s="27" customFormat="1" ht="12.75">
      <c r="A1" s="22" t="s">
        <v>208</v>
      </c>
      <c r="B1" s="56"/>
      <c r="D1" s="38" t="s">
        <v>207</v>
      </c>
      <c r="E1" s="37">
        <v>3</v>
      </c>
      <c r="F1" s="23"/>
      <c r="G1" s="23"/>
      <c r="H1" s="84"/>
      <c r="I1" s="84"/>
      <c r="J1" s="84"/>
      <c r="K1" s="25"/>
      <c r="L1" s="25"/>
      <c r="M1" s="86" t="s">
        <v>211</v>
      </c>
      <c r="N1" s="87"/>
      <c r="O1" s="36"/>
      <c r="P1" s="85" t="s">
        <v>209</v>
      </c>
      <c r="Q1" s="85"/>
      <c r="R1" s="85"/>
      <c r="S1" s="85"/>
      <c r="T1" s="85"/>
    </row>
    <row r="2" spans="1:20" s="27" customFormat="1" ht="12.75">
      <c r="A2" s="22" t="s">
        <v>91</v>
      </c>
      <c r="B2" s="22" t="s">
        <v>172</v>
      </c>
      <c r="C2" s="22" t="s">
        <v>92</v>
      </c>
      <c r="D2" s="22" t="s">
        <v>93</v>
      </c>
      <c r="E2" s="53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228</v>
      </c>
      <c r="M2" s="26" t="s">
        <v>98</v>
      </c>
      <c r="N2" s="26" t="s">
        <v>99</v>
      </c>
      <c r="O2" s="26" t="s">
        <v>100</v>
      </c>
      <c r="P2" s="50" t="s">
        <v>101</v>
      </c>
      <c r="Q2" s="39" t="s">
        <v>90</v>
      </c>
      <c r="R2" s="39" t="s">
        <v>102</v>
      </c>
      <c r="S2" s="34" t="s">
        <v>103</v>
      </c>
      <c r="T2" s="34" t="s">
        <v>104</v>
      </c>
    </row>
    <row r="3" spans="1:20" s="27" customFormat="1" ht="12.75">
      <c r="A3" s="54">
        <v>5</v>
      </c>
      <c r="B3" s="21">
        <v>1</v>
      </c>
      <c r="C3" s="55" t="s">
        <v>232</v>
      </c>
      <c r="D3" s="55"/>
      <c r="E3" s="55">
        <v>2524</v>
      </c>
      <c r="F3" s="55" t="s">
        <v>277</v>
      </c>
      <c r="G3" s="29">
        <v>350</v>
      </c>
      <c r="J3" s="27">
        <f aca="true" t="shared" si="0" ref="J3:J12">IF(OR(F3="",K3="nl"),"",IF(L3&lt;70,"L4",IF(L3&lt;80,"L3",IF(L3&lt;90,"L2",IF(L3&lt;100,"L1",IF(L3&gt;130,"H3",IF(L3&gt;120,"H2",IF(L3&gt;110,"H1",""))))))))</f>
      </c>
      <c r="K3" s="27" t="str">
        <f>IF(F3="","",INDEX(SCHRS!$A$1:J$913,MATCH(F3,SCHRS!$B$1:$B$913,0),3))</f>
        <v>nl</v>
      </c>
      <c r="L3" s="78">
        <f aca="true" t="shared" si="1" ref="L3:L12">IF(F3="","",IF(K3="nl",100,100*G3/K3))</f>
        <v>100</v>
      </c>
      <c r="M3" s="79">
        <f>IF(F3="","",INDEX(SCHRS!$A$1:$J$913,MATCH(F3,SCHRS!$B$1:$B$913,0),$E$1+5))</f>
        <v>1.051</v>
      </c>
      <c r="N3" s="7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9">
        <f aca="true" t="shared" si="2" ref="O3:O12">IF(F3="","",M3*N3)</f>
        <v>1.051</v>
      </c>
      <c r="P3" s="51">
        <v>0</v>
      </c>
      <c r="Q3" s="40">
        <v>23</v>
      </c>
      <c r="R3" s="40">
        <v>40</v>
      </c>
      <c r="S3" s="80">
        <f aca="true" t="shared" si="3" ref="S3:S12">IF(R3="","",IF(TYPE(R3)=2,R3,(P3*60+Q3+(R3/60))))</f>
        <v>23.666666666666668</v>
      </c>
      <c r="T3" s="80">
        <f aca="true" t="shared" si="4" ref="T3:T12">IF(S3="","",IF(TYPE(R3)=2,S3,S3/(O3)))</f>
        <v>22.518236600063435</v>
      </c>
    </row>
    <row r="4" spans="1:20" s="27" customFormat="1" ht="12.75">
      <c r="A4" s="54">
        <v>3</v>
      </c>
      <c r="B4" s="21">
        <v>2</v>
      </c>
      <c r="C4" s="52" t="s">
        <v>226</v>
      </c>
      <c r="D4" s="52"/>
      <c r="E4" s="52">
        <v>5827</v>
      </c>
      <c r="F4" s="52" t="s">
        <v>22</v>
      </c>
      <c r="G4" s="27">
        <v>165</v>
      </c>
      <c r="J4" s="27">
        <f t="shared" si="0"/>
      </c>
      <c r="K4" s="27">
        <f>IF(F4="","",INDEX(SCHRS!$A$1:J$913,MATCH(F4,SCHRS!$B$1:$B$913,0),3))</f>
        <v>160</v>
      </c>
      <c r="L4" s="78">
        <f t="shared" si="1"/>
        <v>103.125</v>
      </c>
      <c r="M4" s="79">
        <f>IF(F4="","",INDEX(SCHRS!$A$1:$J$913,MATCH(F4,SCHRS!$B$1:$B$913,0),$E$1+5))</f>
        <v>1.207</v>
      </c>
      <c r="N4" s="7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79">
        <f t="shared" si="2"/>
        <v>1.207</v>
      </c>
      <c r="P4" s="51">
        <v>0</v>
      </c>
      <c r="Q4" s="40">
        <v>28</v>
      </c>
      <c r="R4" s="40">
        <v>13</v>
      </c>
      <c r="S4" s="80">
        <f t="shared" si="3"/>
        <v>28.216666666666665</v>
      </c>
      <c r="T4" s="80">
        <f t="shared" si="4"/>
        <v>23.377520022093343</v>
      </c>
    </row>
    <row r="5" spans="1:20" s="27" customFormat="1" ht="12.75">
      <c r="A5" s="54">
        <v>1</v>
      </c>
      <c r="B5" s="21">
        <v>3</v>
      </c>
      <c r="C5" s="55" t="s">
        <v>224</v>
      </c>
      <c r="D5" s="55"/>
      <c r="E5" s="55">
        <v>241</v>
      </c>
      <c r="F5" s="55" t="s">
        <v>277</v>
      </c>
      <c r="G5" s="29">
        <v>400</v>
      </c>
      <c r="J5" s="27">
        <f t="shared" si="0"/>
      </c>
      <c r="K5" s="27" t="str">
        <f>IF(F5="","",INDEX(SCHRS!$A$1:J$913,MATCH(F5,SCHRS!$B$1:$B$913,0),3))</f>
        <v>nl</v>
      </c>
      <c r="L5" s="78">
        <f t="shared" si="1"/>
        <v>100</v>
      </c>
      <c r="M5" s="79">
        <f>IF(F5="","",INDEX(SCHRS!$A$1:$J$913,MATCH(F5,SCHRS!$B$1:$B$913,0),$E$1+5))</f>
        <v>1.051</v>
      </c>
      <c r="N5" s="7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9">
        <f t="shared" si="2"/>
        <v>1.051</v>
      </c>
      <c r="P5" s="51">
        <v>0</v>
      </c>
      <c r="Q5" s="40">
        <v>26</v>
      </c>
      <c r="R5" s="40">
        <v>8</v>
      </c>
      <c r="S5" s="80">
        <f t="shared" si="3"/>
        <v>26.133333333333333</v>
      </c>
      <c r="T5" s="80">
        <f t="shared" si="4"/>
        <v>24.865207738661592</v>
      </c>
    </row>
    <row r="6" spans="1:20" s="27" customFormat="1" ht="12.75">
      <c r="A6" s="54">
        <v>7</v>
      </c>
      <c r="B6" s="21">
        <v>4</v>
      </c>
      <c r="C6" s="55" t="s">
        <v>223</v>
      </c>
      <c r="D6" s="55" t="s">
        <v>227</v>
      </c>
      <c r="E6" s="55">
        <v>927</v>
      </c>
      <c r="F6" s="55" t="s">
        <v>21</v>
      </c>
      <c r="G6" s="29">
        <f>130+175</f>
        <v>305</v>
      </c>
      <c r="J6" s="27">
        <f t="shared" si="0"/>
      </c>
      <c r="K6" s="27">
        <f>IF(F6="","",INDEX(SCHRS!$A$1:J$913,MATCH(F6,SCHRS!$B$1:$B$913,0),3))</f>
        <v>285</v>
      </c>
      <c r="L6" s="78">
        <f t="shared" si="1"/>
        <v>107.01754385964912</v>
      </c>
      <c r="M6" s="79">
        <f>IF(F6="","",INDEX(SCHRS!$A$1:$J$913,MATCH(F6,SCHRS!$B$1:$B$913,0),$E$1+5))</f>
        <v>1.191</v>
      </c>
      <c r="N6" s="7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9">
        <f t="shared" si="2"/>
        <v>1.191</v>
      </c>
      <c r="P6" s="51">
        <v>0</v>
      </c>
      <c r="Q6" s="40">
        <v>30</v>
      </c>
      <c r="R6" s="40">
        <v>30</v>
      </c>
      <c r="S6" s="80">
        <f t="shared" si="3"/>
        <v>30.5</v>
      </c>
      <c r="T6" s="80">
        <f t="shared" si="4"/>
        <v>25.608732157850543</v>
      </c>
    </row>
    <row r="7" spans="1:20" s="27" customFormat="1" ht="12.75">
      <c r="A7" s="54">
        <v>6</v>
      </c>
      <c r="B7" s="21">
        <v>5</v>
      </c>
      <c r="C7" s="55" t="s">
        <v>164</v>
      </c>
      <c r="D7" s="55"/>
      <c r="E7" s="55">
        <v>6661</v>
      </c>
      <c r="F7" s="55" t="s">
        <v>22</v>
      </c>
      <c r="G7" s="29">
        <v>202</v>
      </c>
      <c r="J7" s="27" t="str">
        <f t="shared" si="0"/>
        <v>H2</v>
      </c>
      <c r="K7" s="27">
        <f>IF(F7="","",INDEX(SCHRS!$A$1:J$913,MATCH(F7,SCHRS!$B$1:$B$913,0),3))</f>
        <v>160</v>
      </c>
      <c r="L7" s="78">
        <f t="shared" si="1"/>
        <v>126.25</v>
      </c>
      <c r="M7" s="79">
        <f>IF(F7="","",INDEX(SCHRS!$A$1:$J$913,MATCH(F7,SCHRS!$B$1:$B$913,0),$E$1+5))</f>
        <v>1.207</v>
      </c>
      <c r="N7" s="7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9">
        <f t="shared" si="2"/>
        <v>1.207</v>
      </c>
      <c r="P7" s="51">
        <v>0</v>
      </c>
      <c r="Q7" s="40">
        <v>31</v>
      </c>
      <c r="R7" s="40">
        <v>19</v>
      </c>
      <c r="S7" s="80">
        <f t="shared" si="3"/>
        <v>31.316666666666666</v>
      </c>
      <c r="T7" s="80">
        <f t="shared" si="4"/>
        <v>25.945871306268984</v>
      </c>
    </row>
    <row r="8" spans="1:20" s="27" customFormat="1" ht="12.75">
      <c r="A8" s="54">
        <v>2</v>
      </c>
      <c r="B8" s="21">
        <v>6</v>
      </c>
      <c r="C8" s="55" t="s">
        <v>225</v>
      </c>
      <c r="D8" s="55"/>
      <c r="E8" s="55">
        <v>127</v>
      </c>
      <c r="F8" s="55" t="s">
        <v>36</v>
      </c>
      <c r="G8" s="29">
        <v>165</v>
      </c>
      <c r="J8" s="27" t="str">
        <f t="shared" si="0"/>
        <v>H1</v>
      </c>
      <c r="K8" s="27">
        <f>IF(F8="","",INDEX(SCHRS!$A$1:J$913,MATCH(F8,SCHRS!$B$1:$B$913,0),3))</f>
        <v>145</v>
      </c>
      <c r="L8" s="78">
        <f t="shared" si="1"/>
        <v>113.79310344827586</v>
      </c>
      <c r="M8" s="79">
        <f>IF(F8="","",INDEX(SCHRS!$A$1:$J$913,MATCH(F8,SCHRS!$B$1:$B$913,0),$E$1+5))</f>
        <v>1.105</v>
      </c>
      <c r="N8" s="7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9">
        <f t="shared" si="2"/>
        <v>1.105</v>
      </c>
      <c r="P8" s="51">
        <v>0</v>
      </c>
      <c r="Q8" s="40">
        <v>29</v>
      </c>
      <c r="R8" s="40">
        <v>45</v>
      </c>
      <c r="S8" s="80">
        <f t="shared" si="3"/>
        <v>29.75</v>
      </c>
      <c r="T8" s="80">
        <f t="shared" si="4"/>
        <v>26.923076923076923</v>
      </c>
    </row>
    <row r="9" spans="1:20" s="27" customFormat="1" ht="12.75">
      <c r="A9" s="54">
        <v>4</v>
      </c>
      <c r="B9" s="21">
        <v>7</v>
      </c>
      <c r="C9" s="55" t="s">
        <v>233</v>
      </c>
      <c r="D9" s="52" t="s">
        <v>276</v>
      </c>
      <c r="E9" s="52">
        <v>707</v>
      </c>
      <c r="F9" s="55" t="s">
        <v>16</v>
      </c>
      <c r="G9" s="27">
        <v>340</v>
      </c>
      <c r="J9" s="27">
        <f t="shared" si="0"/>
      </c>
      <c r="K9" s="27">
        <f>IF(F9="","",INDEX(SCHRS!$A$1:J$913,MATCH(F9,SCHRS!$B$1:$B$913,0),3))</f>
        <v>330</v>
      </c>
      <c r="L9" s="78">
        <f t="shared" si="1"/>
        <v>103.03030303030303</v>
      </c>
      <c r="M9" s="79">
        <f>IF(F9="","",INDEX(SCHRS!$A$1:$J$913,MATCH(F9,SCHRS!$B$1:$B$913,0),$E$1+5))</f>
        <v>1</v>
      </c>
      <c r="N9" s="79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79">
        <f t="shared" si="2"/>
        <v>1</v>
      </c>
      <c r="P9" s="51">
        <v>0</v>
      </c>
      <c r="Q9" s="40">
        <v>30</v>
      </c>
      <c r="R9" s="40">
        <v>39</v>
      </c>
      <c r="S9" s="80">
        <f t="shared" si="3"/>
        <v>30.65</v>
      </c>
      <c r="T9" s="80">
        <f t="shared" si="4"/>
        <v>30.65</v>
      </c>
    </row>
    <row r="10" spans="1:20" s="27" customFormat="1" ht="12.75">
      <c r="A10" s="54">
        <v>8</v>
      </c>
      <c r="B10" s="21">
        <v>8</v>
      </c>
      <c r="C10" s="52" t="s">
        <v>278</v>
      </c>
      <c r="D10" s="52"/>
      <c r="E10" s="55"/>
      <c r="F10" s="55" t="s">
        <v>21</v>
      </c>
      <c r="G10" s="29">
        <v>300</v>
      </c>
      <c r="J10" s="27">
        <f t="shared" si="0"/>
      </c>
      <c r="K10" s="27">
        <f>IF(F10="","",INDEX(SCHRS!$A$1:J$913,MATCH(F10,SCHRS!$B$1:$B$913,0),3))</f>
        <v>285</v>
      </c>
      <c r="L10" s="78">
        <f t="shared" si="1"/>
        <v>105.26315789473684</v>
      </c>
      <c r="M10" s="79">
        <f>IF(F10="","",INDEX(SCHRS!$A$1:$J$913,MATCH(F10,SCHRS!$B$1:$B$913,0),$E$1+5))</f>
        <v>1.191</v>
      </c>
      <c r="N10" s="79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79">
        <f t="shared" si="2"/>
        <v>1.191</v>
      </c>
      <c r="P10" s="51">
        <v>0</v>
      </c>
      <c r="Q10" s="40"/>
      <c r="R10" s="40"/>
      <c r="S10" s="80">
        <f t="shared" si="3"/>
      </c>
      <c r="T10" s="80">
        <f t="shared" si="4"/>
      </c>
    </row>
    <row r="11" spans="1:20" s="57" customFormat="1" ht="12.75">
      <c r="A11" s="54">
        <v>9</v>
      </c>
      <c r="B11" s="21">
        <v>9</v>
      </c>
      <c r="C11" s="55" t="s">
        <v>279</v>
      </c>
      <c r="D11" s="55"/>
      <c r="E11" s="55"/>
      <c r="F11" s="55" t="s">
        <v>21</v>
      </c>
      <c r="G11" s="29">
        <v>300</v>
      </c>
      <c r="J11" s="27">
        <f t="shared" si="0"/>
      </c>
      <c r="K11" s="27">
        <f>IF(F11="","",INDEX(SCHRS!$A$1:J$913,MATCH(F11,SCHRS!$B$1:$B$913,0),3))</f>
        <v>285</v>
      </c>
      <c r="L11" s="78">
        <f t="shared" si="1"/>
        <v>105.26315789473684</v>
      </c>
      <c r="M11" s="79">
        <f>IF(F11="","",INDEX(SCHRS!$A$1:$J$913,MATCH(F11,SCHRS!$B$1:$B$913,0),$E$1+5))</f>
        <v>1.191</v>
      </c>
      <c r="N11" s="79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79">
        <f t="shared" si="2"/>
        <v>1.191</v>
      </c>
      <c r="P11" s="51">
        <v>0</v>
      </c>
      <c r="Q11" s="40"/>
      <c r="R11" s="40"/>
      <c r="S11" s="80">
        <f t="shared" si="3"/>
      </c>
      <c r="T11" s="80">
        <f t="shared" si="4"/>
      </c>
    </row>
    <row r="12" spans="1:20" s="27" customFormat="1" ht="12.75">
      <c r="A12" s="54">
        <v>10</v>
      </c>
      <c r="B12" s="21">
        <v>10</v>
      </c>
      <c r="C12" s="55" t="s">
        <v>280</v>
      </c>
      <c r="D12" s="55"/>
      <c r="E12" s="55"/>
      <c r="F12" s="55" t="s">
        <v>21</v>
      </c>
      <c r="G12" s="29">
        <v>300</v>
      </c>
      <c r="J12" s="27">
        <f t="shared" si="0"/>
      </c>
      <c r="K12" s="27">
        <f>IF(F12="","",INDEX(SCHRS!$A$1:J$913,MATCH(F12,SCHRS!$B$1:$B$913,0),3))</f>
        <v>285</v>
      </c>
      <c r="L12" s="78">
        <f t="shared" si="1"/>
        <v>105.26315789473684</v>
      </c>
      <c r="M12" s="79">
        <f>IF(F12="","",INDEX(SCHRS!$A$1:$J$913,MATCH(F12,SCHRS!$B$1:$B$913,0),$E$1+5))</f>
        <v>1.191</v>
      </c>
      <c r="N12" s="79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79">
        <f t="shared" si="2"/>
        <v>1.191</v>
      </c>
      <c r="P12" s="51">
        <v>0</v>
      </c>
      <c r="Q12" s="40"/>
      <c r="R12" s="40"/>
      <c r="S12" s="80">
        <f t="shared" si="3"/>
      </c>
      <c r="T12" s="80">
        <f t="shared" si="4"/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2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58" bestFit="1" customWidth="1"/>
    <col min="2" max="2" width="5.421875" style="58" bestFit="1" customWidth="1"/>
    <col min="3" max="3" width="17.57421875" style="59" bestFit="1" customWidth="1"/>
    <col min="4" max="4" width="15.7109375" style="59" bestFit="1" customWidth="1"/>
    <col min="5" max="5" width="6.7109375" style="60" bestFit="1" customWidth="1"/>
    <col min="6" max="6" width="6.140625" style="59" bestFit="1" customWidth="1"/>
    <col min="7" max="7" width="4.00390625" style="59" bestFit="1" customWidth="1"/>
    <col min="8" max="9" width="3.28125" style="59" bestFit="1" customWidth="1"/>
    <col min="10" max="10" width="3.7109375" style="59" bestFit="1" customWidth="1"/>
    <col min="11" max="11" width="3.8515625" style="59" bestFit="1" customWidth="1"/>
    <col min="12" max="12" width="7.7109375" style="81" bestFit="1" customWidth="1"/>
    <col min="13" max="13" width="7.7109375" style="82" bestFit="1" customWidth="1"/>
    <col min="14" max="14" width="6.7109375" style="82" bestFit="1" customWidth="1"/>
    <col min="15" max="15" width="7.7109375" style="82" bestFit="1" customWidth="1"/>
    <col min="16" max="16" width="3.7109375" style="59" bestFit="1" customWidth="1"/>
    <col min="17" max="17" width="3.8515625" style="59" bestFit="1" customWidth="1"/>
    <col min="18" max="18" width="4.00390625" style="59" bestFit="1" customWidth="1"/>
    <col min="19" max="19" width="7.7109375" style="83" bestFit="1" customWidth="1"/>
    <col min="20" max="20" width="9.28125" style="83" bestFit="1" customWidth="1"/>
    <col min="21" max="16384" width="8.7109375" style="59" customWidth="1"/>
  </cols>
  <sheetData>
    <row r="1" spans="1:20" s="27" customFormat="1" ht="12.75">
      <c r="A1" s="22" t="s">
        <v>208</v>
      </c>
      <c r="B1" s="56"/>
      <c r="D1" s="38" t="s">
        <v>207</v>
      </c>
      <c r="E1" s="37">
        <v>3</v>
      </c>
      <c r="F1" s="23"/>
      <c r="G1" s="23"/>
      <c r="H1" s="84"/>
      <c r="I1" s="84"/>
      <c r="J1" s="84"/>
      <c r="K1" s="25"/>
      <c r="L1" s="25"/>
      <c r="M1" s="86" t="s">
        <v>211</v>
      </c>
      <c r="N1" s="87"/>
      <c r="O1" s="36"/>
      <c r="P1" s="85" t="s">
        <v>209</v>
      </c>
      <c r="Q1" s="85"/>
      <c r="R1" s="85"/>
      <c r="S1" s="85"/>
      <c r="T1" s="85"/>
    </row>
    <row r="2" spans="1:20" s="27" customFormat="1" ht="12.75">
      <c r="A2" s="22" t="s">
        <v>91</v>
      </c>
      <c r="B2" s="22" t="s">
        <v>172</v>
      </c>
      <c r="C2" s="22" t="s">
        <v>92</v>
      </c>
      <c r="D2" s="22" t="s">
        <v>93</v>
      </c>
      <c r="E2" s="53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228</v>
      </c>
      <c r="M2" s="26" t="s">
        <v>98</v>
      </c>
      <c r="N2" s="26" t="s">
        <v>99</v>
      </c>
      <c r="O2" s="26" t="s">
        <v>100</v>
      </c>
      <c r="P2" s="50" t="s">
        <v>101</v>
      </c>
      <c r="Q2" s="39" t="s">
        <v>90</v>
      </c>
      <c r="R2" s="39" t="s">
        <v>102</v>
      </c>
      <c r="S2" s="34" t="s">
        <v>103</v>
      </c>
      <c r="T2" s="34" t="s">
        <v>104</v>
      </c>
    </row>
    <row r="3" spans="1:20" s="27" customFormat="1" ht="12.75">
      <c r="A3" s="54">
        <v>1</v>
      </c>
      <c r="B3" s="21">
        <v>1</v>
      </c>
      <c r="C3" s="55" t="s">
        <v>224</v>
      </c>
      <c r="D3" s="55"/>
      <c r="E3" s="55">
        <v>241</v>
      </c>
      <c r="F3" s="55" t="s">
        <v>277</v>
      </c>
      <c r="G3" s="29">
        <v>400</v>
      </c>
      <c r="J3" s="27">
        <f aca="true" t="shared" si="0" ref="J3:J12">IF(OR(F3="",K3="nl"),"",IF(L3&lt;70,"L4",IF(L3&lt;80,"L3",IF(L3&lt;90,"L2",IF(L3&lt;100,"L1",IF(L3&gt;130,"H3",IF(L3&gt;120,"H2",IF(L3&gt;110,"H1",""))))))))</f>
      </c>
      <c r="K3" s="27" t="str">
        <f>IF(F3="","",INDEX(SCHRS!$A$1:J$913,MATCH(F3,SCHRS!$B$1:$B$913,0),3))</f>
        <v>nl</v>
      </c>
      <c r="L3" s="78">
        <f aca="true" t="shared" si="1" ref="L3:L12">IF(F3="","",IF(K3="nl",100,100*G3/K3))</f>
        <v>100</v>
      </c>
      <c r="M3" s="79">
        <f>IF(F3="","",INDEX(SCHRS!$A$1:$J$913,MATCH(F3,SCHRS!$B$1:$B$913,0),$E$1+5))</f>
        <v>1.051</v>
      </c>
      <c r="N3" s="79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9">
        <f aca="true" t="shared" si="2" ref="O3:O12">IF(F3="","",M3*N3)</f>
        <v>1.051</v>
      </c>
      <c r="P3" s="51">
        <v>0</v>
      </c>
      <c r="Q3" s="40">
        <v>26</v>
      </c>
      <c r="R3" s="40">
        <v>1</v>
      </c>
      <c r="S3" s="80">
        <f aca="true" t="shared" si="3" ref="S3:S12">IF(R3="","",IF(TYPE(R3)=2,R3,(P3*60+Q3+(R3/60))))</f>
        <v>26.016666666666666</v>
      </c>
      <c r="T3" s="80">
        <f aca="true" t="shared" si="4" ref="T3:T12">IF(S3="","",IF(TYPE(R3)=2,S3,S3/(O3)))</f>
        <v>24.75420234697114</v>
      </c>
    </row>
    <row r="4" spans="1:20" s="27" customFormat="1" ht="12.75">
      <c r="A4" s="54">
        <v>6</v>
      </c>
      <c r="B4" s="21">
        <v>2</v>
      </c>
      <c r="C4" s="55" t="s">
        <v>164</v>
      </c>
      <c r="D4" s="55"/>
      <c r="E4" s="55">
        <v>6661</v>
      </c>
      <c r="F4" s="55" t="s">
        <v>22</v>
      </c>
      <c r="G4" s="29">
        <v>202</v>
      </c>
      <c r="J4" s="27" t="str">
        <f t="shared" si="0"/>
        <v>H2</v>
      </c>
      <c r="K4" s="27">
        <f>IF(F4="","",INDEX(SCHRS!$A$1:J$913,MATCH(F4,SCHRS!$B$1:$B$913,0),3))</f>
        <v>160</v>
      </c>
      <c r="L4" s="78">
        <f t="shared" si="1"/>
        <v>126.25</v>
      </c>
      <c r="M4" s="79">
        <f>IF(F4="","",INDEX(SCHRS!$A$1:$J$913,MATCH(F4,SCHRS!$B$1:$B$913,0),$E$1+5))</f>
        <v>1.207</v>
      </c>
      <c r="N4" s="79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79">
        <f t="shared" si="2"/>
        <v>1.207</v>
      </c>
      <c r="P4" s="51">
        <v>0</v>
      </c>
      <c r="Q4" s="40">
        <v>31</v>
      </c>
      <c r="R4" s="40">
        <v>5</v>
      </c>
      <c r="S4" s="80">
        <f t="shared" si="3"/>
        <v>31.083333333333332</v>
      </c>
      <c r="T4" s="80">
        <f t="shared" si="4"/>
        <v>25.752554542943937</v>
      </c>
    </row>
    <row r="5" spans="1:20" s="27" customFormat="1" ht="12.75">
      <c r="A5" s="54">
        <v>7</v>
      </c>
      <c r="B5" s="21">
        <v>3</v>
      </c>
      <c r="C5" s="55" t="s">
        <v>223</v>
      </c>
      <c r="D5" s="55" t="s">
        <v>227</v>
      </c>
      <c r="E5" s="55">
        <v>927</v>
      </c>
      <c r="F5" s="55" t="s">
        <v>21</v>
      </c>
      <c r="G5" s="29">
        <f>130+175</f>
        <v>305</v>
      </c>
      <c r="J5" s="27">
        <f t="shared" si="0"/>
      </c>
      <c r="K5" s="27">
        <f>IF(F5="","",INDEX(SCHRS!$A$1:J$913,MATCH(F5,SCHRS!$B$1:$B$913,0),3))</f>
        <v>285</v>
      </c>
      <c r="L5" s="78">
        <f t="shared" si="1"/>
        <v>107.01754385964912</v>
      </c>
      <c r="M5" s="79">
        <f>IF(F5="","",INDEX(SCHRS!$A$1:$J$913,MATCH(F5,SCHRS!$B$1:$B$913,0),$E$1+5))</f>
        <v>1.191</v>
      </c>
      <c r="N5" s="79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9">
        <f t="shared" si="2"/>
        <v>1.191</v>
      </c>
      <c r="P5" s="51">
        <v>0</v>
      </c>
      <c r="Q5" s="40">
        <v>31</v>
      </c>
      <c r="R5" s="40">
        <v>14</v>
      </c>
      <c r="S5" s="80">
        <f t="shared" si="3"/>
        <v>31.233333333333334</v>
      </c>
      <c r="T5" s="80">
        <f t="shared" si="4"/>
        <v>26.224461237055696</v>
      </c>
    </row>
    <row r="6" spans="1:20" s="27" customFormat="1" ht="12.75">
      <c r="A6" s="54">
        <v>5</v>
      </c>
      <c r="B6" s="21">
        <v>4</v>
      </c>
      <c r="C6" s="55" t="s">
        <v>232</v>
      </c>
      <c r="D6" s="55"/>
      <c r="E6" s="55">
        <v>2524</v>
      </c>
      <c r="F6" s="55" t="s">
        <v>277</v>
      </c>
      <c r="G6" s="29">
        <v>350</v>
      </c>
      <c r="J6" s="27">
        <f t="shared" si="0"/>
      </c>
      <c r="K6" s="27" t="str">
        <f>IF(F6="","",INDEX(SCHRS!$A$1:J$913,MATCH(F6,SCHRS!$B$1:$B$913,0),3))</f>
        <v>nl</v>
      </c>
      <c r="L6" s="78">
        <f t="shared" si="1"/>
        <v>100</v>
      </c>
      <c r="M6" s="79">
        <f>IF(F6="","",INDEX(SCHRS!$A$1:$J$913,MATCH(F6,SCHRS!$B$1:$B$913,0),$E$1+5))</f>
        <v>1.051</v>
      </c>
      <c r="N6" s="79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9">
        <f t="shared" si="2"/>
        <v>1.051</v>
      </c>
      <c r="P6" s="51">
        <v>0</v>
      </c>
      <c r="Q6" s="40">
        <v>28</v>
      </c>
      <c r="R6" s="40">
        <v>20</v>
      </c>
      <c r="S6" s="80">
        <f t="shared" si="3"/>
        <v>28.333333333333332</v>
      </c>
      <c r="T6" s="80">
        <f t="shared" si="4"/>
        <v>26.958452267681572</v>
      </c>
    </row>
    <row r="7" spans="1:20" s="27" customFormat="1" ht="12.75">
      <c r="A7" s="54">
        <v>4</v>
      </c>
      <c r="B7" s="21">
        <v>5</v>
      </c>
      <c r="C7" s="55" t="s">
        <v>233</v>
      </c>
      <c r="D7" s="52" t="s">
        <v>276</v>
      </c>
      <c r="E7" s="52">
        <v>707</v>
      </c>
      <c r="F7" s="55" t="s">
        <v>16</v>
      </c>
      <c r="G7" s="27">
        <v>340</v>
      </c>
      <c r="J7" s="27">
        <f t="shared" si="0"/>
      </c>
      <c r="K7" s="27">
        <f>IF(F7="","",INDEX(SCHRS!$A$1:J$913,MATCH(F7,SCHRS!$B$1:$B$913,0),3))</f>
        <v>330</v>
      </c>
      <c r="L7" s="78">
        <f t="shared" si="1"/>
        <v>103.03030303030303</v>
      </c>
      <c r="M7" s="79">
        <f>IF(F7="","",INDEX(SCHRS!$A$1:$J$913,MATCH(F7,SCHRS!$B$1:$B$913,0),$E$1+5))</f>
        <v>1</v>
      </c>
      <c r="N7" s="79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9">
        <f t="shared" si="2"/>
        <v>1</v>
      </c>
      <c r="P7" s="51">
        <v>0</v>
      </c>
      <c r="Q7" s="40">
        <v>29</v>
      </c>
      <c r="R7" s="40">
        <v>6</v>
      </c>
      <c r="S7" s="80">
        <f t="shared" si="3"/>
        <v>29.1</v>
      </c>
      <c r="T7" s="80">
        <f t="shared" si="4"/>
        <v>29.1</v>
      </c>
    </row>
    <row r="8" spans="1:20" s="27" customFormat="1" ht="12.75">
      <c r="A8" s="54">
        <v>2</v>
      </c>
      <c r="B8" s="21">
        <v>6</v>
      </c>
      <c r="C8" s="55" t="s">
        <v>225</v>
      </c>
      <c r="D8" s="55"/>
      <c r="E8" s="55">
        <v>127</v>
      </c>
      <c r="F8" s="55" t="s">
        <v>36</v>
      </c>
      <c r="G8" s="29">
        <v>165</v>
      </c>
      <c r="J8" s="27" t="str">
        <f t="shared" si="0"/>
        <v>H1</v>
      </c>
      <c r="K8" s="27">
        <f>IF(F8="","",INDEX(SCHRS!$A$1:J$913,MATCH(F8,SCHRS!$B$1:$B$913,0),3))</f>
        <v>145</v>
      </c>
      <c r="L8" s="78">
        <f t="shared" si="1"/>
        <v>113.79310344827586</v>
      </c>
      <c r="M8" s="79">
        <f>IF(F8="","",INDEX(SCHRS!$A$1:$J$913,MATCH(F8,SCHRS!$B$1:$B$913,0),$E$1+5))</f>
        <v>1.105</v>
      </c>
      <c r="N8" s="79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9">
        <f t="shared" si="2"/>
        <v>1.105</v>
      </c>
      <c r="P8" s="51">
        <v>0</v>
      </c>
      <c r="Q8" s="40">
        <v>37</v>
      </c>
      <c r="R8" s="40">
        <v>51</v>
      </c>
      <c r="S8" s="80">
        <f t="shared" si="3"/>
        <v>37.85</v>
      </c>
      <c r="T8" s="80">
        <f t="shared" si="4"/>
        <v>34.25339366515837</v>
      </c>
    </row>
    <row r="9" spans="1:20" s="27" customFormat="1" ht="12.75">
      <c r="A9" s="54">
        <v>3</v>
      </c>
      <c r="B9" s="21">
        <v>7</v>
      </c>
      <c r="C9" s="52" t="s">
        <v>226</v>
      </c>
      <c r="D9" s="52"/>
      <c r="E9" s="52">
        <v>5827</v>
      </c>
      <c r="F9" s="52" t="s">
        <v>22</v>
      </c>
      <c r="G9" s="27">
        <v>165</v>
      </c>
      <c r="J9" s="27">
        <f t="shared" si="0"/>
      </c>
      <c r="K9" s="27">
        <f>IF(F9="","",INDEX(SCHRS!$A$1:J$913,MATCH(F9,SCHRS!$B$1:$B$913,0),3))</f>
        <v>160</v>
      </c>
      <c r="L9" s="78">
        <f t="shared" si="1"/>
        <v>103.125</v>
      </c>
      <c r="M9" s="79">
        <f>IF(F9="","",INDEX(SCHRS!$A$1:$J$913,MATCH(F9,SCHRS!$B$1:$B$913,0),$E$1+5))</f>
        <v>1.207</v>
      </c>
      <c r="N9" s="79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79">
        <f t="shared" si="2"/>
        <v>1.207</v>
      </c>
      <c r="P9" s="51">
        <v>0</v>
      </c>
      <c r="Q9" s="40"/>
      <c r="R9" s="40"/>
      <c r="S9" s="80">
        <f t="shared" si="3"/>
      </c>
      <c r="T9" s="80">
        <f t="shared" si="4"/>
      </c>
    </row>
    <row r="10" spans="1:20" s="27" customFormat="1" ht="12.75">
      <c r="A10" s="54">
        <v>8</v>
      </c>
      <c r="B10" s="21">
        <v>8</v>
      </c>
      <c r="C10" s="52" t="s">
        <v>278</v>
      </c>
      <c r="D10" s="52"/>
      <c r="E10" s="55"/>
      <c r="F10" s="55" t="s">
        <v>21</v>
      </c>
      <c r="G10" s="29">
        <v>300</v>
      </c>
      <c r="J10" s="27">
        <f t="shared" si="0"/>
      </c>
      <c r="K10" s="27">
        <f>IF(F10="","",INDEX(SCHRS!$A$1:J$913,MATCH(F10,SCHRS!$B$1:$B$913,0),3))</f>
        <v>285</v>
      </c>
      <c r="L10" s="78">
        <f t="shared" si="1"/>
        <v>105.26315789473684</v>
      </c>
      <c r="M10" s="79">
        <f>IF(F10="","",INDEX(SCHRS!$A$1:$J$913,MATCH(F10,SCHRS!$B$1:$B$913,0),$E$1+5))</f>
        <v>1.191</v>
      </c>
      <c r="N10" s="79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79">
        <f t="shared" si="2"/>
        <v>1.191</v>
      </c>
      <c r="P10" s="51">
        <v>0</v>
      </c>
      <c r="Q10" s="40"/>
      <c r="R10" s="40"/>
      <c r="S10" s="80">
        <f t="shared" si="3"/>
      </c>
      <c r="T10" s="80">
        <f t="shared" si="4"/>
      </c>
    </row>
    <row r="11" spans="1:20" s="57" customFormat="1" ht="12.75">
      <c r="A11" s="54">
        <v>9</v>
      </c>
      <c r="B11" s="21">
        <v>9</v>
      </c>
      <c r="C11" s="55" t="s">
        <v>279</v>
      </c>
      <c r="D11" s="55"/>
      <c r="E11" s="55"/>
      <c r="F11" s="55" t="s">
        <v>21</v>
      </c>
      <c r="G11" s="29">
        <v>300</v>
      </c>
      <c r="J11" s="27">
        <f t="shared" si="0"/>
      </c>
      <c r="K11" s="27">
        <f>IF(F11="","",INDEX(SCHRS!$A$1:J$913,MATCH(F11,SCHRS!$B$1:$B$913,0),3))</f>
        <v>285</v>
      </c>
      <c r="L11" s="78">
        <f t="shared" si="1"/>
        <v>105.26315789473684</v>
      </c>
      <c r="M11" s="79">
        <f>IF(F11="","",INDEX(SCHRS!$A$1:$J$913,MATCH(F11,SCHRS!$B$1:$B$913,0),$E$1+5))</f>
        <v>1.191</v>
      </c>
      <c r="N11" s="79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79">
        <f t="shared" si="2"/>
        <v>1.191</v>
      </c>
      <c r="P11" s="51">
        <v>0</v>
      </c>
      <c r="Q11" s="40"/>
      <c r="R11" s="40"/>
      <c r="S11" s="80">
        <f t="shared" si="3"/>
      </c>
      <c r="T11" s="80">
        <f t="shared" si="4"/>
      </c>
    </row>
    <row r="12" spans="1:20" s="27" customFormat="1" ht="12.75">
      <c r="A12" s="54">
        <v>10</v>
      </c>
      <c r="B12" s="21">
        <v>10</v>
      </c>
      <c r="C12" s="55" t="s">
        <v>280</v>
      </c>
      <c r="D12" s="55"/>
      <c r="E12" s="55"/>
      <c r="F12" s="55" t="s">
        <v>21</v>
      </c>
      <c r="G12" s="29">
        <v>300</v>
      </c>
      <c r="J12" s="27">
        <f t="shared" si="0"/>
      </c>
      <c r="K12" s="27">
        <f>IF(F12="","",INDEX(SCHRS!$A$1:J$913,MATCH(F12,SCHRS!$B$1:$B$913,0),3))</f>
        <v>285</v>
      </c>
      <c r="L12" s="78">
        <f t="shared" si="1"/>
        <v>105.26315789473684</v>
      </c>
      <c r="M12" s="79">
        <f>IF(F12="","",INDEX(SCHRS!$A$1:$J$913,MATCH(F12,SCHRS!$B$1:$B$913,0),$E$1+5))</f>
        <v>1.191</v>
      </c>
      <c r="N12" s="79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79">
        <f t="shared" si="2"/>
        <v>1.191</v>
      </c>
      <c r="P12" s="51">
        <v>0</v>
      </c>
      <c r="Q12" s="40"/>
      <c r="R12" s="40"/>
      <c r="S12" s="80">
        <f t="shared" si="3"/>
      </c>
      <c r="T12" s="80">
        <f t="shared" si="4"/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2"/>
  <sheetViews>
    <sheetView tabSelected="1" workbookViewId="0" topLeftCell="A1">
      <pane ySplit="2" topLeftCell="BM3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7.28125" style="58" bestFit="1" customWidth="1"/>
    <col min="2" max="2" width="5.421875" style="58" bestFit="1" customWidth="1"/>
    <col min="3" max="3" width="17.57421875" style="59" bestFit="1" customWidth="1"/>
    <col min="4" max="4" width="15.7109375" style="59" bestFit="1" customWidth="1"/>
    <col min="5" max="5" width="6.7109375" style="60" bestFit="1" customWidth="1"/>
    <col min="6" max="6" width="6.140625" style="59" bestFit="1" customWidth="1"/>
    <col min="7" max="7" width="4.00390625" style="59" bestFit="1" customWidth="1"/>
    <col min="8" max="9" width="3.28125" style="59" bestFit="1" customWidth="1"/>
    <col min="10" max="10" width="3.7109375" style="59" bestFit="1" customWidth="1"/>
    <col min="11" max="11" width="3.8515625" style="59" bestFit="1" customWidth="1"/>
    <col min="12" max="12" width="7.7109375" style="61" bestFit="1" customWidth="1"/>
    <col min="13" max="13" width="7.7109375" style="62" bestFit="1" customWidth="1"/>
    <col min="14" max="14" width="6.7109375" style="62" bestFit="1" customWidth="1"/>
    <col min="15" max="15" width="7.7109375" style="62" bestFit="1" customWidth="1"/>
    <col min="16" max="16" width="3.7109375" style="59" bestFit="1" customWidth="1"/>
    <col min="17" max="17" width="3.8515625" style="59" bestFit="1" customWidth="1"/>
    <col min="18" max="18" width="4.00390625" style="59" bestFit="1" customWidth="1"/>
    <col min="19" max="19" width="7.7109375" style="63" bestFit="1" customWidth="1"/>
    <col min="20" max="20" width="9.28125" style="63" bestFit="1" customWidth="1"/>
    <col min="21" max="16384" width="8.7109375" style="59" customWidth="1"/>
  </cols>
  <sheetData>
    <row r="1" spans="1:20" s="27" customFormat="1" ht="12.75">
      <c r="A1" s="22" t="s">
        <v>208</v>
      </c>
      <c r="B1" s="56"/>
      <c r="D1" s="38" t="s">
        <v>207</v>
      </c>
      <c r="E1" s="37">
        <v>3</v>
      </c>
      <c r="F1" s="23"/>
      <c r="G1" s="23"/>
      <c r="H1" s="84"/>
      <c r="I1" s="84"/>
      <c r="J1" s="84"/>
      <c r="K1" s="25"/>
      <c r="L1" s="25"/>
      <c r="M1" s="86" t="s">
        <v>211</v>
      </c>
      <c r="N1" s="87"/>
      <c r="O1" s="36"/>
      <c r="P1" s="85" t="s">
        <v>209</v>
      </c>
      <c r="Q1" s="85"/>
      <c r="R1" s="85"/>
      <c r="S1" s="85"/>
      <c r="T1" s="85"/>
    </row>
    <row r="2" spans="1:20" s="27" customFormat="1" ht="12.75">
      <c r="A2" s="22" t="s">
        <v>91</v>
      </c>
      <c r="B2" s="22" t="s">
        <v>172</v>
      </c>
      <c r="C2" s="22" t="s">
        <v>92</v>
      </c>
      <c r="D2" s="22" t="s">
        <v>93</v>
      </c>
      <c r="E2" s="53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228</v>
      </c>
      <c r="M2" s="26" t="s">
        <v>98</v>
      </c>
      <c r="N2" s="26" t="s">
        <v>99</v>
      </c>
      <c r="O2" s="26" t="s">
        <v>100</v>
      </c>
      <c r="P2" s="50" t="s">
        <v>101</v>
      </c>
      <c r="Q2" s="39" t="s">
        <v>90</v>
      </c>
      <c r="R2" s="39" t="s">
        <v>102</v>
      </c>
      <c r="S2" s="34" t="s">
        <v>103</v>
      </c>
      <c r="T2" s="34" t="s">
        <v>104</v>
      </c>
    </row>
    <row r="3" spans="1:20" s="27" customFormat="1" ht="12.75">
      <c r="A3" s="54">
        <v>3</v>
      </c>
      <c r="B3" s="21">
        <v>1</v>
      </c>
      <c r="C3" s="52" t="s">
        <v>226</v>
      </c>
      <c r="D3" s="52"/>
      <c r="E3" s="52">
        <v>5827</v>
      </c>
      <c r="F3" s="52" t="s">
        <v>22</v>
      </c>
      <c r="G3" s="27">
        <v>165</v>
      </c>
      <c r="J3" s="27">
        <f aca="true" t="shared" si="0" ref="J3:J12">IF(OR(F3="",K3="nl"),"",IF(L3&lt;70,"L4",IF(L3&lt;80,"L3",IF(L3&lt;90,"L2",IF(L3&lt;100,"L1",IF(L3&gt;130,"H3",IF(L3&gt;120,"H2",IF(L3&gt;110,"H1",""))))))))</f>
      </c>
      <c r="K3" s="27">
        <f>IF(F3="","",INDEX(SCHRS!$A$1:J$913,MATCH(F3,SCHRS!$B$1:$B$913,0),3))</f>
        <v>160</v>
      </c>
      <c r="L3" s="30">
        <f aca="true" t="shared" si="1" ref="L3:L12">IF(F3="","",IF(K3="nl",100,100*G3/K3))</f>
        <v>103.125</v>
      </c>
      <c r="M3" s="31">
        <f>IF(F3="","",INDEX(SCHRS!$A$1:$J$913,MATCH(F3,SCHRS!$B$1:$B$913,0),$E$1+5))</f>
        <v>1.207</v>
      </c>
      <c r="N3" s="31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1">
        <f aca="true" t="shared" si="2" ref="O3:O12">IF(F3="","",M3*N3)</f>
        <v>1.207</v>
      </c>
      <c r="P3" s="51">
        <v>0</v>
      </c>
      <c r="Q3" s="40">
        <v>15</v>
      </c>
      <c r="R3" s="40">
        <v>8</v>
      </c>
      <c r="S3" s="35">
        <f aca="true" t="shared" si="3" ref="S3:S12">IF(R3="","",IF(TYPE(R3)=2,R3,(P3*60+Q3+(R3/60))))</f>
        <v>15.133333333333333</v>
      </c>
      <c r="T3" s="35">
        <f aca="true" t="shared" si="4" ref="T3:T12">IF(S3="","",IF(TYPE(R3)=2,S3,S3/(O3)))</f>
        <v>12.537972935653134</v>
      </c>
    </row>
    <row r="4" spans="1:20" s="27" customFormat="1" ht="12.75">
      <c r="A4" s="54">
        <v>2</v>
      </c>
      <c r="B4" s="21">
        <v>2</v>
      </c>
      <c r="C4" s="55" t="s">
        <v>225</v>
      </c>
      <c r="D4" s="55"/>
      <c r="E4" s="55">
        <v>127</v>
      </c>
      <c r="F4" s="55" t="s">
        <v>36</v>
      </c>
      <c r="G4" s="29">
        <v>165</v>
      </c>
      <c r="J4" s="27" t="str">
        <f t="shared" si="0"/>
        <v>H1</v>
      </c>
      <c r="K4" s="27">
        <f>IF(F4="","",INDEX(SCHRS!$A$1:J$913,MATCH(F4,SCHRS!$B$1:$B$913,0),3))</f>
        <v>145</v>
      </c>
      <c r="L4" s="30">
        <f t="shared" si="1"/>
        <v>113.79310344827586</v>
      </c>
      <c r="M4" s="31">
        <f>IF(F4="","",INDEX(SCHRS!$A$1:$J$913,MATCH(F4,SCHRS!$B$1:$B$913,0),$E$1+5))</f>
        <v>1.105</v>
      </c>
      <c r="N4" s="31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1">
        <f t="shared" si="2"/>
        <v>1.105</v>
      </c>
      <c r="P4" s="51">
        <v>0</v>
      </c>
      <c r="Q4" s="40">
        <v>14</v>
      </c>
      <c r="R4" s="40">
        <v>49</v>
      </c>
      <c r="S4" s="35">
        <f t="shared" si="3"/>
        <v>14.816666666666666</v>
      </c>
      <c r="T4" s="35">
        <f t="shared" si="4"/>
        <v>13.408748114630468</v>
      </c>
    </row>
    <row r="5" spans="1:20" s="27" customFormat="1" ht="12.75">
      <c r="A5" s="54">
        <v>1</v>
      </c>
      <c r="B5" s="21">
        <v>3</v>
      </c>
      <c r="C5" s="55" t="s">
        <v>224</v>
      </c>
      <c r="D5" s="55"/>
      <c r="E5" s="55">
        <v>241</v>
      </c>
      <c r="F5" s="55" t="s">
        <v>277</v>
      </c>
      <c r="G5" s="29">
        <v>400</v>
      </c>
      <c r="J5" s="27">
        <f t="shared" si="0"/>
      </c>
      <c r="K5" s="27" t="str">
        <f>IF(F5="","",INDEX(SCHRS!$A$1:J$913,MATCH(F5,SCHRS!$B$1:$B$913,0),3))</f>
        <v>nl</v>
      </c>
      <c r="L5" s="30">
        <f t="shared" si="1"/>
        <v>100</v>
      </c>
      <c r="M5" s="31">
        <f>IF(F5="","",INDEX(SCHRS!$A$1:$J$913,MATCH(F5,SCHRS!$B$1:$B$913,0),$E$1+5))</f>
        <v>1.051</v>
      </c>
      <c r="N5" s="31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1">
        <f t="shared" si="2"/>
        <v>1.051</v>
      </c>
      <c r="P5" s="51">
        <v>0</v>
      </c>
      <c r="Q5" s="40">
        <v>14</v>
      </c>
      <c r="R5" s="40">
        <v>40</v>
      </c>
      <c r="S5" s="35">
        <f t="shared" si="3"/>
        <v>14.666666666666666</v>
      </c>
      <c r="T5" s="35">
        <f t="shared" si="4"/>
        <v>13.954963526799874</v>
      </c>
    </row>
    <row r="6" spans="1:20" s="27" customFormat="1" ht="12.75">
      <c r="A6" s="54">
        <v>8</v>
      </c>
      <c r="B6" s="21">
        <v>4</v>
      </c>
      <c r="C6" s="52" t="s">
        <v>278</v>
      </c>
      <c r="D6" s="52"/>
      <c r="E6" s="55"/>
      <c r="F6" s="55" t="s">
        <v>21</v>
      </c>
      <c r="G6" s="29">
        <v>300</v>
      </c>
      <c r="J6" s="27">
        <f t="shared" si="0"/>
      </c>
      <c r="K6" s="27">
        <f>IF(F6="","",INDEX(SCHRS!$A$1:J$913,MATCH(F6,SCHRS!$B$1:$B$913,0),3))</f>
        <v>285</v>
      </c>
      <c r="L6" s="30">
        <f t="shared" si="1"/>
        <v>105.26315789473684</v>
      </c>
      <c r="M6" s="31">
        <f>IF(F6="","",INDEX(SCHRS!$A$1:$J$913,MATCH(F6,SCHRS!$B$1:$B$913,0),$E$1+5))</f>
        <v>1.191</v>
      </c>
      <c r="N6" s="31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1">
        <f t="shared" si="2"/>
        <v>1.191</v>
      </c>
      <c r="P6" s="51">
        <v>0</v>
      </c>
      <c r="Q6" s="40">
        <v>18</v>
      </c>
      <c r="R6" s="40">
        <v>33</v>
      </c>
      <c r="S6" s="35">
        <f t="shared" si="3"/>
        <v>18.55</v>
      </c>
      <c r="T6" s="35">
        <f t="shared" si="4"/>
        <v>15.575146935348446</v>
      </c>
    </row>
    <row r="7" spans="1:20" s="27" customFormat="1" ht="12.75">
      <c r="A7" s="54">
        <v>6</v>
      </c>
      <c r="B7" s="21">
        <v>5</v>
      </c>
      <c r="C7" s="55" t="s">
        <v>164</v>
      </c>
      <c r="D7" s="55"/>
      <c r="E7" s="55">
        <v>6661</v>
      </c>
      <c r="F7" s="55" t="s">
        <v>22</v>
      </c>
      <c r="G7" s="29">
        <v>202</v>
      </c>
      <c r="J7" s="27" t="str">
        <f t="shared" si="0"/>
        <v>H2</v>
      </c>
      <c r="K7" s="27">
        <f>IF(F7="","",INDEX(SCHRS!$A$1:J$913,MATCH(F7,SCHRS!$B$1:$B$913,0),3))</f>
        <v>160</v>
      </c>
      <c r="L7" s="30">
        <f t="shared" si="1"/>
        <v>126.25</v>
      </c>
      <c r="M7" s="31">
        <f>IF(F7="","",INDEX(SCHRS!$A$1:$J$913,MATCH(F7,SCHRS!$B$1:$B$913,0),$E$1+5))</f>
        <v>1.207</v>
      </c>
      <c r="N7" s="31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31">
        <f t="shared" si="2"/>
        <v>1.207</v>
      </c>
      <c r="P7" s="51">
        <v>0</v>
      </c>
      <c r="Q7" s="40">
        <v>18</v>
      </c>
      <c r="R7" s="40">
        <v>50</v>
      </c>
      <c r="S7" s="35">
        <f t="shared" si="3"/>
        <v>18.833333333333332</v>
      </c>
      <c r="T7" s="35">
        <f t="shared" si="4"/>
        <v>15.603424468378899</v>
      </c>
    </row>
    <row r="8" spans="1:20" s="27" customFormat="1" ht="12.75">
      <c r="A8" s="54">
        <v>4</v>
      </c>
      <c r="B8" s="21">
        <v>6</v>
      </c>
      <c r="C8" s="55" t="s">
        <v>233</v>
      </c>
      <c r="D8" s="52" t="s">
        <v>276</v>
      </c>
      <c r="E8" s="52">
        <v>707</v>
      </c>
      <c r="F8" s="55" t="s">
        <v>16</v>
      </c>
      <c r="G8" s="27">
        <v>340</v>
      </c>
      <c r="J8" s="27">
        <f t="shared" si="0"/>
      </c>
      <c r="K8" s="27">
        <f>IF(F8="","",INDEX(SCHRS!$A$1:J$913,MATCH(F8,SCHRS!$B$1:$B$913,0),3))</f>
        <v>330</v>
      </c>
      <c r="L8" s="30">
        <f t="shared" si="1"/>
        <v>103.03030303030303</v>
      </c>
      <c r="M8" s="31">
        <f>IF(F8="","",INDEX(SCHRS!$A$1:$J$913,MATCH(F8,SCHRS!$B$1:$B$913,0),$E$1+5))</f>
        <v>1</v>
      </c>
      <c r="N8" s="31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31">
        <f t="shared" si="2"/>
        <v>1</v>
      </c>
      <c r="P8" s="51">
        <v>0</v>
      </c>
      <c r="Q8" s="40">
        <v>15</v>
      </c>
      <c r="R8" s="40">
        <v>50</v>
      </c>
      <c r="S8" s="35">
        <f t="shared" si="3"/>
        <v>15.833333333333334</v>
      </c>
      <c r="T8" s="35">
        <f t="shared" si="4"/>
        <v>15.833333333333334</v>
      </c>
    </row>
    <row r="9" spans="1:20" s="27" customFormat="1" ht="12.75">
      <c r="A9" s="54">
        <v>7</v>
      </c>
      <c r="B9" s="21">
        <v>7</v>
      </c>
      <c r="C9" s="55" t="s">
        <v>223</v>
      </c>
      <c r="D9" s="55" t="s">
        <v>227</v>
      </c>
      <c r="E9" s="55">
        <v>927</v>
      </c>
      <c r="F9" s="55" t="s">
        <v>21</v>
      </c>
      <c r="G9" s="29">
        <f>130+175</f>
        <v>305</v>
      </c>
      <c r="J9" s="27">
        <f t="shared" si="0"/>
      </c>
      <c r="K9" s="27">
        <f>IF(F9="","",INDEX(SCHRS!$A$1:J$913,MATCH(F9,SCHRS!$B$1:$B$913,0),3))</f>
        <v>285</v>
      </c>
      <c r="L9" s="30">
        <f t="shared" si="1"/>
        <v>107.01754385964912</v>
      </c>
      <c r="M9" s="31">
        <f>IF(F9="","",INDEX(SCHRS!$A$1:$J$913,MATCH(F9,SCHRS!$B$1:$B$913,0),$E$1+5))</f>
        <v>1.191</v>
      </c>
      <c r="N9" s="31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31">
        <f t="shared" si="2"/>
        <v>1.191</v>
      </c>
      <c r="P9" s="51">
        <v>0</v>
      </c>
      <c r="Q9" s="40">
        <v>19</v>
      </c>
      <c r="R9" s="40">
        <v>0</v>
      </c>
      <c r="S9" s="35">
        <f t="shared" si="3"/>
        <v>19</v>
      </c>
      <c r="T9" s="35">
        <f t="shared" si="4"/>
        <v>15.95298068849706</v>
      </c>
    </row>
    <row r="10" spans="1:20" s="27" customFormat="1" ht="12.75">
      <c r="A10" s="54">
        <v>5</v>
      </c>
      <c r="B10" s="21">
        <v>8</v>
      </c>
      <c r="C10" s="55" t="s">
        <v>232</v>
      </c>
      <c r="D10" s="55"/>
      <c r="E10" s="55">
        <v>2524</v>
      </c>
      <c r="F10" s="55" t="s">
        <v>277</v>
      </c>
      <c r="G10" s="29">
        <v>350</v>
      </c>
      <c r="J10" s="27">
        <f t="shared" si="0"/>
      </c>
      <c r="K10" s="27" t="str">
        <f>IF(F10="","",INDEX(SCHRS!$A$1:J$913,MATCH(F10,SCHRS!$B$1:$B$913,0),3))</f>
        <v>nl</v>
      </c>
      <c r="L10" s="30">
        <f t="shared" si="1"/>
        <v>100</v>
      </c>
      <c r="M10" s="31">
        <f>IF(F10="","",INDEX(SCHRS!$A$1:$J$913,MATCH(F10,SCHRS!$B$1:$B$913,0),$E$1+5))</f>
        <v>1.051</v>
      </c>
      <c r="N10" s="31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31">
        <f t="shared" si="2"/>
        <v>1.051</v>
      </c>
      <c r="P10" s="51">
        <v>0</v>
      </c>
      <c r="Q10" s="40">
        <v>16</v>
      </c>
      <c r="R10" s="40">
        <v>56</v>
      </c>
      <c r="S10" s="35">
        <f t="shared" si="3"/>
        <v>16.933333333333334</v>
      </c>
      <c r="T10" s="35">
        <f t="shared" si="4"/>
        <v>16.1116397082144</v>
      </c>
    </row>
    <row r="11" spans="1:20" s="57" customFormat="1" ht="12.75">
      <c r="A11" s="54">
        <v>9</v>
      </c>
      <c r="B11" s="21">
        <v>9</v>
      </c>
      <c r="C11" s="55" t="s">
        <v>279</v>
      </c>
      <c r="D11" s="55"/>
      <c r="E11" s="55"/>
      <c r="F11" s="55" t="s">
        <v>21</v>
      </c>
      <c r="G11" s="29">
        <v>300</v>
      </c>
      <c r="J11" s="27">
        <f t="shared" si="0"/>
      </c>
      <c r="K11" s="27">
        <f>IF(F11="","",INDEX(SCHRS!$A$1:J$913,MATCH(F11,SCHRS!$B$1:$B$913,0),3))</f>
        <v>285</v>
      </c>
      <c r="L11" s="30">
        <f t="shared" si="1"/>
        <v>105.26315789473684</v>
      </c>
      <c r="M11" s="31">
        <f>IF(F11="","",INDEX(SCHRS!$A$1:$J$913,MATCH(F11,SCHRS!$B$1:$B$913,0),$E$1+5))</f>
        <v>1.191</v>
      </c>
      <c r="N11" s="31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31">
        <f t="shared" si="2"/>
        <v>1.191</v>
      </c>
      <c r="P11" s="51">
        <v>0</v>
      </c>
      <c r="Q11" s="40">
        <v>26</v>
      </c>
      <c r="R11" s="40">
        <v>58</v>
      </c>
      <c r="S11" s="35">
        <f t="shared" si="3"/>
        <v>26.966666666666665</v>
      </c>
      <c r="T11" s="35">
        <f t="shared" si="4"/>
        <v>22.642037503498457</v>
      </c>
    </row>
    <row r="12" spans="1:20" s="27" customFormat="1" ht="12.75">
      <c r="A12" s="54">
        <v>10</v>
      </c>
      <c r="B12" s="21">
        <v>10</v>
      </c>
      <c r="C12" s="55" t="s">
        <v>280</v>
      </c>
      <c r="D12" s="55"/>
      <c r="E12" s="55"/>
      <c r="F12" s="55" t="s">
        <v>21</v>
      </c>
      <c r="G12" s="29">
        <v>300</v>
      </c>
      <c r="J12" s="27">
        <f t="shared" si="0"/>
      </c>
      <c r="K12" s="27">
        <f>IF(F12="","",INDEX(SCHRS!$A$1:J$913,MATCH(F12,SCHRS!$B$1:$B$913,0),3))</f>
        <v>285</v>
      </c>
      <c r="L12" s="30">
        <f t="shared" si="1"/>
        <v>105.26315789473684</v>
      </c>
      <c r="M12" s="31">
        <f>IF(F12="","",INDEX(SCHRS!$A$1:$J$913,MATCH(F12,SCHRS!$B$1:$B$913,0),$E$1+5))</f>
        <v>1.191</v>
      </c>
      <c r="N12" s="31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31">
        <f t="shared" si="2"/>
        <v>1.191</v>
      </c>
      <c r="P12" s="51">
        <v>0</v>
      </c>
      <c r="Q12" s="40">
        <v>28</v>
      </c>
      <c r="R12" s="40">
        <v>46</v>
      </c>
      <c r="S12" s="35">
        <f t="shared" si="3"/>
        <v>28.766666666666666</v>
      </c>
      <c r="T12" s="35">
        <f t="shared" si="4"/>
        <v>24.15337251609292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workbookViewId="0" topLeftCell="A1">
      <selection activeCell="B3" sqref="B3:F12"/>
    </sheetView>
  </sheetViews>
  <sheetFormatPr defaultColWidth="9.140625" defaultRowHeight="12.75"/>
  <cols>
    <col min="1" max="1" width="7.7109375" style="59" bestFit="1" customWidth="1"/>
    <col min="2" max="2" width="5.7109375" style="59" bestFit="1" customWidth="1"/>
    <col min="3" max="3" width="18.00390625" style="59" bestFit="1" customWidth="1"/>
    <col min="4" max="4" width="9.7109375" style="59" bestFit="1" customWidth="1"/>
    <col min="5" max="6" width="5.7109375" style="59" bestFit="1" customWidth="1"/>
    <col min="7" max="10" width="6.8515625" style="59" bestFit="1" customWidth="1"/>
    <col min="11" max="11" width="6.57421875" style="59" bestFit="1" customWidth="1"/>
    <col min="12" max="12" width="5.28125" style="67" bestFit="1" customWidth="1"/>
    <col min="13" max="13" width="4.57421875" style="67" bestFit="1" customWidth="1"/>
    <col min="14" max="16384" width="8.7109375" style="59" customWidth="1"/>
  </cols>
  <sheetData>
    <row r="1" spans="1:13" ht="12.75">
      <c r="A1" s="22" t="s">
        <v>208</v>
      </c>
      <c r="B1" s="88" t="s">
        <v>171</v>
      </c>
      <c r="C1" s="88"/>
      <c r="D1" s="88"/>
      <c r="E1" s="88"/>
      <c r="F1" s="88"/>
      <c r="G1" s="88"/>
      <c r="H1" s="88"/>
      <c r="I1" s="88"/>
      <c r="J1" s="88"/>
      <c r="K1" s="88" t="s">
        <v>210</v>
      </c>
      <c r="L1" s="88"/>
      <c r="M1" s="88"/>
    </row>
    <row r="2" spans="1:13" ht="12.75">
      <c r="A2" s="22" t="s">
        <v>91</v>
      </c>
      <c r="B2" s="22" t="s">
        <v>172</v>
      </c>
      <c r="C2" s="22" t="s">
        <v>92</v>
      </c>
      <c r="D2" s="22" t="s">
        <v>93</v>
      </c>
      <c r="E2" s="22" t="s">
        <v>94</v>
      </c>
      <c r="F2" s="25" t="s">
        <v>5</v>
      </c>
      <c r="G2" s="25" t="s">
        <v>173</v>
      </c>
      <c r="H2" s="25" t="s">
        <v>174</v>
      </c>
      <c r="I2" s="25" t="s">
        <v>175</v>
      </c>
      <c r="J2" s="25" t="s">
        <v>176</v>
      </c>
      <c r="K2" s="25" t="s">
        <v>177</v>
      </c>
      <c r="L2" s="42" t="s">
        <v>178</v>
      </c>
      <c r="M2" s="42" t="s">
        <v>179</v>
      </c>
    </row>
    <row r="3" spans="1:13" ht="12.75">
      <c r="A3" s="54">
        <v>1</v>
      </c>
      <c r="B3" s="21">
        <v>1</v>
      </c>
      <c r="C3" s="55" t="s">
        <v>224</v>
      </c>
      <c r="D3" s="55"/>
      <c r="E3" s="55">
        <v>241</v>
      </c>
      <c r="F3" s="55" t="s">
        <v>277</v>
      </c>
      <c r="G3" s="32">
        <v>3</v>
      </c>
      <c r="H3" s="32">
        <v>1</v>
      </c>
      <c r="I3" s="32">
        <v>3</v>
      </c>
      <c r="J3" s="32">
        <v>11</v>
      </c>
      <c r="K3" s="33">
        <f>MAX(G3:J3)</f>
        <v>11</v>
      </c>
      <c r="L3" s="41">
        <f>SUM(G3:J3)</f>
        <v>18</v>
      </c>
      <c r="M3" s="41">
        <f>L3-K3</f>
        <v>7</v>
      </c>
    </row>
    <row r="4" spans="1:13" ht="12.75">
      <c r="A4" s="54">
        <v>3</v>
      </c>
      <c r="B4" s="21">
        <v>2</v>
      </c>
      <c r="C4" s="52" t="s">
        <v>226</v>
      </c>
      <c r="D4" s="52"/>
      <c r="E4" s="52">
        <v>5827</v>
      </c>
      <c r="F4" s="52" t="s">
        <v>22</v>
      </c>
      <c r="G4" s="32">
        <v>1</v>
      </c>
      <c r="H4" s="32">
        <v>7</v>
      </c>
      <c r="I4" s="32">
        <v>2</v>
      </c>
      <c r="J4" s="32">
        <v>11</v>
      </c>
      <c r="K4" s="33">
        <f aca="true" t="shared" si="0" ref="K4:K12">MAX(G4:J4)</f>
        <v>11</v>
      </c>
      <c r="L4" s="41">
        <f aca="true" t="shared" si="1" ref="L4:L12">SUM(G4:J4)</f>
        <v>21</v>
      </c>
      <c r="M4" s="41">
        <f aca="true" t="shared" si="2" ref="M4:M12">L4-K4</f>
        <v>10</v>
      </c>
    </row>
    <row r="5" spans="1:13" ht="12.75">
      <c r="A5" s="54">
        <v>6</v>
      </c>
      <c r="B5" s="21">
        <v>3</v>
      </c>
      <c r="C5" s="55" t="s">
        <v>164</v>
      </c>
      <c r="D5" s="55"/>
      <c r="E5" s="55">
        <v>6661</v>
      </c>
      <c r="F5" s="55" t="s">
        <v>22</v>
      </c>
      <c r="G5" s="32">
        <v>5</v>
      </c>
      <c r="H5" s="32">
        <v>2</v>
      </c>
      <c r="I5" s="32">
        <v>5</v>
      </c>
      <c r="J5" s="32">
        <v>11</v>
      </c>
      <c r="K5" s="33">
        <f>MAX(G5:J5)</f>
        <v>11</v>
      </c>
      <c r="L5" s="41">
        <f>SUM(G5:J5)</f>
        <v>23</v>
      </c>
      <c r="M5" s="41">
        <f>L5-K5</f>
        <v>12</v>
      </c>
    </row>
    <row r="6" spans="1:13" ht="12.75">
      <c r="A6" s="54">
        <v>5</v>
      </c>
      <c r="B6" s="21">
        <v>4</v>
      </c>
      <c r="C6" s="55" t="s">
        <v>232</v>
      </c>
      <c r="D6" s="55"/>
      <c r="E6" s="55">
        <v>2524</v>
      </c>
      <c r="F6" s="55" t="s">
        <v>277</v>
      </c>
      <c r="G6" s="32">
        <v>8</v>
      </c>
      <c r="H6" s="32">
        <v>4</v>
      </c>
      <c r="I6" s="32">
        <v>1</v>
      </c>
      <c r="J6" s="32">
        <v>11</v>
      </c>
      <c r="K6" s="33">
        <f t="shared" si="0"/>
        <v>11</v>
      </c>
      <c r="L6" s="41">
        <f t="shared" si="1"/>
        <v>24</v>
      </c>
      <c r="M6" s="41">
        <f t="shared" si="2"/>
        <v>13</v>
      </c>
    </row>
    <row r="7" spans="1:13" ht="12.75">
      <c r="A7" s="54">
        <v>7</v>
      </c>
      <c r="B7" s="21">
        <v>5</v>
      </c>
      <c r="C7" s="55" t="s">
        <v>223</v>
      </c>
      <c r="D7" s="55" t="s">
        <v>227</v>
      </c>
      <c r="E7" s="55">
        <v>927</v>
      </c>
      <c r="F7" s="55" t="s">
        <v>21</v>
      </c>
      <c r="G7" s="32">
        <v>7</v>
      </c>
      <c r="H7" s="32">
        <v>3</v>
      </c>
      <c r="I7" s="32">
        <v>4</v>
      </c>
      <c r="J7" s="32">
        <v>11</v>
      </c>
      <c r="K7" s="33">
        <f t="shared" si="0"/>
        <v>11</v>
      </c>
      <c r="L7" s="41">
        <f t="shared" si="1"/>
        <v>25</v>
      </c>
      <c r="M7" s="41">
        <f t="shared" si="2"/>
        <v>14</v>
      </c>
    </row>
    <row r="8" spans="1:13" ht="12.75">
      <c r="A8" s="54">
        <v>2</v>
      </c>
      <c r="B8" s="21">
        <v>6</v>
      </c>
      <c r="C8" s="55" t="s">
        <v>225</v>
      </c>
      <c r="D8" s="55"/>
      <c r="E8" s="55">
        <v>127</v>
      </c>
      <c r="F8" s="55" t="s">
        <v>35</v>
      </c>
      <c r="G8" s="32">
        <v>2</v>
      </c>
      <c r="H8" s="32">
        <v>6</v>
      </c>
      <c r="I8" s="32">
        <v>6</v>
      </c>
      <c r="J8" s="32">
        <v>11</v>
      </c>
      <c r="K8" s="33">
        <f t="shared" si="0"/>
        <v>11</v>
      </c>
      <c r="L8" s="41">
        <f t="shared" si="1"/>
        <v>25</v>
      </c>
      <c r="M8" s="41">
        <f t="shared" si="2"/>
        <v>14</v>
      </c>
    </row>
    <row r="9" spans="1:13" ht="12.75">
      <c r="A9" s="54">
        <v>4</v>
      </c>
      <c r="B9" s="21">
        <v>7</v>
      </c>
      <c r="C9" s="55" t="s">
        <v>233</v>
      </c>
      <c r="D9" s="52" t="s">
        <v>276</v>
      </c>
      <c r="E9" s="52">
        <v>707</v>
      </c>
      <c r="F9" s="55" t="s">
        <v>16</v>
      </c>
      <c r="G9" s="32">
        <v>6</v>
      </c>
      <c r="H9" s="32">
        <v>5</v>
      </c>
      <c r="I9" s="32">
        <v>7</v>
      </c>
      <c r="J9" s="32">
        <v>11</v>
      </c>
      <c r="K9" s="33">
        <f t="shared" si="0"/>
        <v>11</v>
      </c>
      <c r="L9" s="41">
        <f t="shared" si="1"/>
        <v>29</v>
      </c>
      <c r="M9" s="41">
        <f t="shared" si="2"/>
        <v>18</v>
      </c>
    </row>
    <row r="10" spans="1:13" ht="12.75">
      <c r="A10" s="54">
        <v>8</v>
      </c>
      <c r="B10" s="21">
        <v>8</v>
      </c>
      <c r="C10" s="52" t="s">
        <v>278</v>
      </c>
      <c r="D10" s="52"/>
      <c r="E10" s="55"/>
      <c r="F10" s="55" t="s">
        <v>21</v>
      </c>
      <c r="G10" s="32">
        <v>4</v>
      </c>
      <c r="H10" s="32">
        <v>8</v>
      </c>
      <c r="I10" s="32">
        <v>8</v>
      </c>
      <c r="J10" s="32">
        <v>11</v>
      </c>
      <c r="K10" s="33">
        <f t="shared" si="0"/>
        <v>11</v>
      </c>
      <c r="L10" s="41">
        <f t="shared" si="1"/>
        <v>31</v>
      </c>
      <c r="M10" s="41">
        <f t="shared" si="2"/>
        <v>20</v>
      </c>
    </row>
    <row r="11" spans="1:13" ht="12.75">
      <c r="A11" s="54">
        <v>9</v>
      </c>
      <c r="B11" s="21">
        <v>9</v>
      </c>
      <c r="C11" s="55" t="s">
        <v>279</v>
      </c>
      <c r="D11" s="55"/>
      <c r="E11" s="55"/>
      <c r="F11" s="55" t="s">
        <v>21</v>
      </c>
      <c r="G11" s="32">
        <v>9</v>
      </c>
      <c r="H11" s="32">
        <v>9</v>
      </c>
      <c r="I11" s="32">
        <v>9</v>
      </c>
      <c r="J11" s="32">
        <v>11</v>
      </c>
      <c r="K11" s="33">
        <f t="shared" si="0"/>
        <v>11</v>
      </c>
      <c r="L11" s="41">
        <f t="shared" si="1"/>
        <v>38</v>
      </c>
      <c r="M11" s="41">
        <f t="shared" si="2"/>
        <v>27</v>
      </c>
    </row>
    <row r="12" spans="1:13" ht="12.75">
      <c r="A12" s="54">
        <v>10</v>
      </c>
      <c r="B12" s="21">
        <v>10</v>
      </c>
      <c r="C12" s="55" t="s">
        <v>280</v>
      </c>
      <c r="D12" s="55"/>
      <c r="E12" s="55"/>
      <c r="F12" s="55" t="s">
        <v>21</v>
      </c>
      <c r="G12" s="32">
        <v>10</v>
      </c>
      <c r="H12" s="32">
        <v>10</v>
      </c>
      <c r="I12" s="32">
        <v>10</v>
      </c>
      <c r="J12" s="32">
        <v>11</v>
      </c>
      <c r="K12" s="33">
        <f t="shared" si="0"/>
        <v>11</v>
      </c>
      <c r="L12" s="41">
        <f t="shared" si="1"/>
        <v>41</v>
      </c>
      <c r="M12" s="41">
        <f t="shared" si="2"/>
        <v>30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18" ht="12.75">
      <c r="A18" s="66"/>
    </row>
    <row r="19" ht="12.75">
      <c r="A19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0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198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165</v>
      </c>
      <c r="D4" s="21">
        <v>4</v>
      </c>
      <c r="F4">
        <f t="shared" si="0"/>
        <v>4</v>
      </c>
    </row>
    <row r="5" spans="1:6" ht="12.75">
      <c r="A5" t="s">
        <v>195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197</v>
      </c>
      <c r="D8" s="21">
        <v>8</v>
      </c>
      <c r="F8">
        <f t="shared" si="0"/>
        <v>8</v>
      </c>
    </row>
    <row r="9" spans="1:6" ht="12.75">
      <c r="A9" t="s">
        <v>196</v>
      </c>
      <c r="D9" s="21">
        <v>9</v>
      </c>
      <c r="F9">
        <f t="shared" si="0"/>
        <v>9</v>
      </c>
    </row>
    <row r="10" spans="1:6" ht="12.75">
      <c r="A10" t="s">
        <v>170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166</v>
      </c>
      <c r="D12" s="21">
        <v>12</v>
      </c>
      <c r="F12">
        <f t="shared" si="0"/>
        <v>12</v>
      </c>
    </row>
    <row r="13" spans="1:6" ht="12.75">
      <c r="A13" s="20" t="s">
        <v>167</v>
      </c>
      <c r="D13" s="21">
        <v>13</v>
      </c>
      <c r="F13">
        <f t="shared" si="0"/>
        <v>13</v>
      </c>
    </row>
    <row r="14" spans="1:6" ht="12.75">
      <c r="A14" t="s">
        <v>168</v>
      </c>
      <c r="D14" s="21">
        <v>14</v>
      </c>
      <c r="F14">
        <f t="shared" si="0"/>
        <v>14</v>
      </c>
    </row>
    <row r="15" spans="1:6" ht="12.75">
      <c r="A15" t="s">
        <v>169</v>
      </c>
      <c r="D15" s="21">
        <v>15</v>
      </c>
      <c r="F15">
        <f t="shared" si="0"/>
        <v>15</v>
      </c>
    </row>
    <row r="16" spans="1:6" ht="12.75">
      <c r="A16" t="s">
        <v>199</v>
      </c>
      <c r="D16" s="21">
        <v>16</v>
      </c>
      <c r="F16">
        <f t="shared" si="0"/>
        <v>16</v>
      </c>
    </row>
    <row r="17" spans="1:6" ht="12.75">
      <c r="A17" t="s">
        <v>200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171</v>
      </c>
      <c r="D20" s="21">
        <v>20</v>
      </c>
      <c r="F20">
        <f t="shared" si="0"/>
        <v>20</v>
      </c>
    </row>
    <row r="21" spans="1:6" ht="12.75">
      <c r="A21" t="s">
        <v>201</v>
      </c>
      <c r="D21" s="21">
        <v>21</v>
      </c>
      <c r="F21">
        <f t="shared" si="0"/>
        <v>21</v>
      </c>
    </row>
    <row r="22" spans="1:6" ht="12.75">
      <c r="A22" t="s">
        <v>202</v>
      </c>
      <c r="D22" s="21">
        <v>22</v>
      </c>
      <c r="F22">
        <f t="shared" si="0"/>
        <v>22</v>
      </c>
    </row>
    <row r="23" spans="1:6" ht="12.75">
      <c r="A23" t="s">
        <v>212</v>
      </c>
      <c r="D23" s="21">
        <v>23</v>
      </c>
      <c r="F23">
        <f t="shared" si="0"/>
        <v>23</v>
      </c>
    </row>
    <row r="24" spans="1:6" ht="12.75">
      <c r="A24" t="s">
        <v>213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193</v>
      </c>
      <c r="D26" s="21">
        <v>26</v>
      </c>
      <c r="F26">
        <f t="shared" si="0"/>
        <v>26</v>
      </c>
    </row>
    <row r="27" spans="1:6" ht="12.75">
      <c r="A27" t="s">
        <v>182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183</v>
      </c>
      <c r="D29" s="21">
        <v>29</v>
      </c>
      <c r="F29">
        <f t="shared" si="0"/>
        <v>29</v>
      </c>
    </row>
    <row r="30" spans="1:6" ht="12.75">
      <c r="A30" t="s">
        <v>170</v>
      </c>
      <c r="D30" s="21">
        <v>30</v>
      </c>
      <c r="F30">
        <f t="shared" si="0"/>
        <v>30</v>
      </c>
    </row>
    <row r="31" spans="1:6" ht="12.75">
      <c r="A31" t="s">
        <v>184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185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192</v>
      </c>
      <c r="D36" s="21">
        <v>36</v>
      </c>
      <c r="F36">
        <f t="shared" si="1"/>
        <v>36</v>
      </c>
    </row>
    <row r="37" spans="1:6" ht="12.75">
      <c r="A37" t="s">
        <v>186</v>
      </c>
      <c r="D37" s="21">
        <v>37</v>
      </c>
      <c r="F37">
        <f t="shared" si="1"/>
        <v>37</v>
      </c>
    </row>
    <row r="38" spans="1:6" ht="12.75">
      <c r="A38" t="s">
        <v>187</v>
      </c>
      <c r="D38" s="21">
        <v>38</v>
      </c>
      <c r="F38">
        <f t="shared" si="1"/>
        <v>38</v>
      </c>
    </row>
    <row r="39" spans="1:6" ht="12.75">
      <c r="A39" t="s">
        <v>188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189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190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191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194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203</v>
      </c>
      <c r="D50" s="21">
        <v>50</v>
      </c>
      <c r="F50">
        <f t="shared" si="1"/>
        <v>50</v>
      </c>
    </row>
    <row r="51" ht="12.75">
      <c r="A51" t="s">
        <v>204</v>
      </c>
    </row>
    <row r="52" ht="12.75">
      <c r="A52" t="s">
        <v>205</v>
      </c>
    </row>
    <row r="53" ht="12.75">
      <c r="A53" t="s">
        <v>206</v>
      </c>
    </row>
    <row r="54" ht="12.75">
      <c r="A54" t="s">
        <v>222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43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43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43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43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43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7"/>
  <sheetViews>
    <sheetView workbookViewId="0" topLeftCell="A18">
      <selection activeCell="B34" sqref="B34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70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252</v>
      </c>
      <c r="B1" s="3" t="s">
        <v>6</v>
      </c>
      <c r="C1" s="4" t="s">
        <v>7</v>
      </c>
      <c r="D1" s="4" t="s">
        <v>8</v>
      </c>
      <c r="E1" s="68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72" t="s">
        <v>250</v>
      </c>
      <c r="L1" s="73" t="s">
        <v>251</v>
      </c>
    </row>
    <row r="2" spans="1:10" ht="12.75">
      <c r="A2" s="1" t="s">
        <v>181</v>
      </c>
      <c r="B2" s="1" t="s">
        <v>106</v>
      </c>
      <c r="C2" s="1" t="s">
        <v>107</v>
      </c>
      <c r="D2" s="1" t="s">
        <v>108</v>
      </c>
      <c r="E2" s="69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180</v>
      </c>
    </row>
    <row r="3" spans="1:10" ht="12.75">
      <c r="A3" t="s">
        <v>234</v>
      </c>
      <c r="B3" s="64" t="s">
        <v>231</v>
      </c>
      <c r="C3" s="65" t="s">
        <v>13</v>
      </c>
      <c r="D3" s="65" t="s">
        <v>13</v>
      </c>
      <c r="E3" s="70">
        <v>0.981</v>
      </c>
      <c r="F3" s="74">
        <f aca="true" t="shared" si="0" ref="F3:J15">E3</f>
        <v>0.981</v>
      </c>
      <c r="G3" s="74">
        <f t="shared" si="0"/>
        <v>0.981</v>
      </c>
      <c r="H3" s="74">
        <f t="shared" si="0"/>
        <v>0.981</v>
      </c>
      <c r="I3" s="74">
        <f t="shared" si="0"/>
        <v>0.981</v>
      </c>
      <c r="J3" s="74">
        <f t="shared" si="0"/>
        <v>0.981</v>
      </c>
    </row>
    <row r="4" spans="1:10" ht="12.75">
      <c r="A4" t="s">
        <v>235</v>
      </c>
      <c r="B4" s="64" t="s">
        <v>14</v>
      </c>
      <c r="C4" s="65" t="s">
        <v>13</v>
      </c>
      <c r="D4" s="65" t="s">
        <v>13</v>
      </c>
      <c r="E4" s="70">
        <v>1.002</v>
      </c>
      <c r="F4" s="74">
        <f t="shared" si="0"/>
        <v>1.002</v>
      </c>
      <c r="G4" s="74">
        <f t="shared" si="0"/>
        <v>1.002</v>
      </c>
      <c r="H4" s="74">
        <f t="shared" si="0"/>
        <v>1.002</v>
      </c>
      <c r="I4" s="74">
        <f t="shared" si="0"/>
        <v>1.002</v>
      </c>
      <c r="J4" s="74">
        <f t="shared" si="0"/>
        <v>1.002</v>
      </c>
    </row>
    <row r="5" spans="1:10" ht="12.75">
      <c r="A5" t="s">
        <v>261</v>
      </c>
      <c r="B5" s="64" t="s">
        <v>15</v>
      </c>
      <c r="C5" s="65" t="s">
        <v>13</v>
      </c>
      <c r="D5" s="65" t="s">
        <v>13</v>
      </c>
      <c r="E5">
        <v>1.035</v>
      </c>
      <c r="F5" s="74">
        <f aca="true" t="shared" si="1" ref="F5:J8">E5</f>
        <v>1.035</v>
      </c>
      <c r="G5" s="74">
        <f t="shared" si="1"/>
        <v>1.035</v>
      </c>
      <c r="H5" s="74">
        <f t="shared" si="1"/>
        <v>1.035</v>
      </c>
      <c r="I5" s="74">
        <f t="shared" si="1"/>
        <v>1.035</v>
      </c>
      <c r="J5" s="74">
        <f t="shared" si="1"/>
        <v>1.035</v>
      </c>
    </row>
    <row r="6" spans="1:10" ht="12.75">
      <c r="A6" t="s">
        <v>262</v>
      </c>
      <c r="B6" s="64" t="s">
        <v>253</v>
      </c>
      <c r="C6" s="65" t="s">
        <v>13</v>
      </c>
      <c r="D6" s="65" t="s">
        <v>13</v>
      </c>
      <c r="E6">
        <v>1.051</v>
      </c>
      <c r="F6" s="74">
        <f t="shared" si="1"/>
        <v>1.051</v>
      </c>
      <c r="G6" s="74">
        <f t="shared" si="1"/>
        <v>1.051</v>
      </c>
      <c r="H6" s="74">
        <f t="shared" si="1"/>
        <v>1.051</v>
      </c>
      <c r="I6" s="74">
        <f t="shared" si="1"/>
        <v>1.051</v>
      </c>
      <c r="J6" s="74">
        <f t="shared" si="1"/>
        <v>1.051</v>
      </c>
    </row>
    <row r="7" spans="1:10" ht="12.75">
      <c r="A7" t="s">
        <v>255</v>
      </c>
      <c r="B7" s="64" t="s">
        <v>257</v>
      </c>
      <c r="C7" s="65" t="s">
        <v>13</v>
      </c>
      <c r="D7" s="65" t="s">
        <v>13</v>
      </c>
      <c r="E7">
        <v>1.027</v>
      </c>
      <c r="F7" s="74">
        <f t="shared" si="1"/>
        <v>1.027</v>
      </c>
      <c r="G7" s="74">
        <f t="shared" si="1"/>
        <v>1.027</v>
      </c>
      <c r="H7" s="74">
        <f t="shared" si="1"/>
        <v>1.027</v>
      </c>
      <c r="I7" s="74">
        <f t="shared" si="1"/>
        <v>1.027</v>
      </c>
      <c r="J7" s="74">
        <f t="shared" si="1"/>
        <v>1.027</v>
      </c>
    </row>
    <row r="8" spans="1:10" ht="12.75">
      <c r="A8" t="s">
        <v>256</v>
      </c>
      <c r="B8" s="64" t="s">
        <v>258</v>
      </c>
      <c r="C8" s="65" t="s">
        <v>13</v>
      </c>
      <c r="D8" s="65" t="s">
        <v>13</v>
      </c>
      <c r="E8">
        <v>1.048</v>
      </c>
      <c r="F8" s="74">
        <f t="shared" si="1"/>
        <v>1.048</v>
      </c>
      <c r="G8" s="74">
        <f t="shared" si="1"/>
        <v>1.048</v>
      </c>
      <c r="H8" s="74">
        <f t="shared" si="1"/>
        <v>1.048</v>
      </c>
      <c r="I8" s="74">
        <f t="shared" si="1"/>
        <v>1.048</v>
      </c>
      <c r="J8" s="74">
        <f t="shared" si="1"/>
        <v>1.048</v>
      </c>
    </row>
    <row r="9" spans="1:10" ht="12.75">
      <c r="A9" t="s">
        <v>236</v>
      </c>
      <c r="B9" s="64" t="s">
        <v>16</v>
      </c>
      <c r="C9" s="64">
        <v>330</v>
      </c>
      <c r="D9" s="64"/>
      <c r="E9">
        <v>1</v>
      </c>
      <c r="F9" s="74">
        <f t="shared" si="0"/>
        <v>1</v>
      </c>
      <c r="G9" s="74">
        <f t="shared" si="0"/>
        <v>1</v>
      </c>
      <c r="H9" s="74">
        <f t="shared" si="0"/>
        <v>1</v>
      </c>
      <c r="I9" s="74">
        <f t="shared" si="0"/>
        <v>1</v>
      </c>
      <c r="J9" s="74">
        <f t="shared" si="0"/>
        <v>1</v>
      </c>
    </row>
    <row r="10" spans="1:12" ht="12.75">
      <c r="A10" s="64" t="s">
        <v>229</v>
      </c>
      <c r="B10" s="64" t="s">
        <v>17</v>
      </c>
      <c r="C10" s="65" t="s">
        <v>13</v>
      </c>
      <c r="D10" s="65" t="s">
        <v>13</v>
      </c>
      <c r="E10">
        <f>K10/L10</f>
        <v>1.1298076923076923</v>
      </c>
      <c r="F10" s="74">
        <f t="shared" si="0"/>
        <v>1.1298076923076923</v>
      </c>
      <c r="G10" s="74">
        <f t="shared" si="0"/>
        <v>1.1298076923076923</v>
      </c>
      <c r="H10" s="74">
        <f t="shared" si="0"/>
        <v>1.1298076923076923</v>
      </c>
      <c r="I10" s="74">
        <f t="shared" si="0"/>
        <v>1.1298076923076923</v>
      </c>
      <c r="J10" s="74">
        <f t="shared" si="0"/>
        <v>1.1298076923076923</v>
      </c>
      <c r="K10" s="71">
        <v>70.5</v>
      </c>
      <c r="L10" s="64">
        <v>62.4</v>
      </c>
    </row>
    <row r="11" spans="1:10" ht="12.75">
      <c r="A11" t="s">
        <v>18</v>
      </c>
      <c r="B11" s="64" t="s">
        <v>19</v>
      </c>
      <c r="C11" s="65" t="s">
        <v>13</v>
      </c>
      <c r="D11" s="65" t="s">
        <v>13</v>
      </c>
      <c r="E11">
        <v>1.381</v>
      </c>
      <c r="F11" s="74">
        <f t="shared" si="0"/>
        <v>1.381</v>
      </c>
      <c r="G11" s="74">
        <f t="shared" si="0"/>
        <v>1.381</v>
      </c>
      <c r="H11" s="74">
        <f t="shared" si="0"/>
        <v>1.381</v>
      </c>
      <c r="I11" s="74">
        <f t="shared" si="0"/>
        <v>1.381</v>
      </c>
      <c r="J11" s="74">
        <f t="shared" si="0"/>
        <v>1.381</v>
      </c>
    </row>
    <row r="12" spans="1:10" ht="12.75">
      <c r="A12" t="s">
        <v>20</v>
      </c>
      <c r="B12" s="64" t="s">
        <v>21</v>
      </c>
      <c r="C12" s="65">
        <v>285</v>
      </c>
      <c r="D12" s="65" t="s">
        <v>13</v>
      </c>
      <c r="E12">
        <v>1.191</v>
      </c>
      <c r="F12" s="74">
        <f t="shared" si="0"/>
        <v>1.191</v>
      </c>
      <c r="G12" s="74">
        <f t="shared" si="0"/>
        <v>1.191</v>
      </c>
      <c r="H12" s="74">
        <f t="shared" si="0"/>
        <v>1.191</v>
      </c>
      <c r="I12" s="74">
        <f t="shared" si="0"/>
        <v>1.191</v>
      </c>
      <c r="J12" s="74">
        <f t="shared" si="0"/>
        <v>1.191</v>
      </c>
    </row>
    <row r="13" spans="1:10" ht="12.75">
      <c r="A13" t="s">
        <v>260</v>
      </c>
      <c r="B13" s="64" t="s">
        <v>254</v>
      </c>
      <c r="C13" s="65">
        <v>285</v>
      </c>
      <c r="D13" s="65" t="s">
        <v>13</v>
      </c>
      <c r="E13">
        <v>1.117</v>
      </c>
      <c r="F13" s="74">
        <f t="shared" si="0"/>
        <v>1.117</v>
      </c>
      <c r="G13" s="74">
        <f t="shared" si="0"/>
        <v>1.117</v>
      </c>
      <c r="H13" s="74">
        <f t="shared" si="0"/>
        <v>1.117</v>
      </c>
      <c r="I13" s="74">
        <f t="shared" si="0"/>
        <v>1.117</v>
      </c>
      <c r="J13" s="74">
        <f t="shared" si="0"/>
        <v>1.117</v>
      </c>
    </row>
    <row r="14" spans="1:10" ht="12.75">
      <c r="A14" t="s">
        <v>237</v>
      </c>
      <c r="B14" s="64" t="s">
        <v>22</v>
      </c>
      <c r="C14" s="65">
        <v>160</v>
      </c>
      <c r="D14" s="65" t="s">
        <v>13</v>
      </c>
      <c r="E14">
        <v>1.207</v>
      </c>
      <c r="F14" s="74">
        <f t="shared" si="0"/>
        <v>1.207</v>
      </c>
      <c r="G14" s="74">
        <f t="shared" si="0"/>
        <v>1.207</v>
      </c>
      <c r="H14" s="74">
        <f t="shared" si="0"/>
        <v>1.207</v>
      </c>
      <c r="I14" s="74">
        <f t="shared" si="0"/>
        <v>1.207</v>
      </c>
      <c r="J14" s="74">
        <f t="shared" si="0"/>
        <v>1.207</v>
      </c>
    </row>
    <row r="15" spans="1:10" ht="12.75">
      <c r="A15" t="s">
        <v>238</v>
      </c>
      <c r="B15" s="10" t="s">
        <v>266</v>
      </c>
      <c r="C15" s="65">
        <v>295</v>
      </c>
      <c r="D15" s="65" t="s">
        <v>13</v>
      </c>
      <c r="E15">
        <v>1.093</v>
      </c>
      <c r="F15" s="74">
        <f t="shared" si="0"/>
        <v>1.093</v>
      </c>
      <c r="G15" s="74">
        <f t="shared" si="0"/>
        <v>1.093</v>
      </c>
      <c r="H15" s="74">
        <f t="shared" si="0"/>
        <v>1.093</v>
      </c>
      <c r="I15" s="74">
        <f t="shared" si="0"/>
        <v>1.093</v>
      </c>
      <c r="J15" s="74">
        <f t="shared" si="0"/>
        <v>1.093</v>
      </c>
    </row>
    <row r="16" spans="1:10" ht="12.75">
      <c r="A16" t="s">
        <v>239</v>
      </c>
      <c r="B16" s="64" t="s">
        <v>28</v>
      </c>
      <c r="C16" s="65">
        <v>310</v>
      </c>
      <c r="D16" s="65" t="s">
        <v>13</v>
      </c>
      <c r="E16">
        <v>1.111</v>
      </c>
      <c r="F16" s="74">
        <f aca="true" t="shared" si="2" ref="F16:J27">E16</f>
        <v>1.111</v>
      </c>
      <c r="G16" s="74">
        <f t="shared" si="2"/>
        <v>1.111</v>
      </c>
      <c r="H16" s="74">
        <f t="shared" si="2"/>
        <v>1.111</v>
      </c>
      <c r="I16" s="74">
        <f t="shared" si="2"/>
        <v>1.111</v>
      </c>
      <c r="J16" s="74">
        <f t="shared" si="2"/>
        <v>1.111</v>
      </c>
    </row>
    <row r="17" spans="1:10" ht="12.75">
      <c r="A17" t="s">
        <v>263</v>
      </c>
      <c r="B17" s="10" t="s">
        <v>23</v>
      </c>
      <c r="C17" s="65">
        <v>295</v>
      </c>
      <c r="D17" s="65" t="s">
        <v>13</v>
      </c>
      <c r="E17">
        <v>1.089</v>
      </c>
      <c r="F17" s="76">
        <f t="shared" si="2"/>
        <v>1.089</v>
      </c>
      <c r="G17" s="76">
        <f t="shared" si="2"/>
        <v>1.089</v>
      </c>
      <c r="H17" s="76">
        <f t="shared" si="2"/>
        <v>1.089</v>
      </c>
      <c r="I17" s="76">
        <f t="shared" si="2"/>
        <v>1.089</v>
      </c>
      <c r="J17" s="76">
        <f t="shared" si="2"/>
        <v>1.089</v>
      </c>
    </row>
    <row r="18" spans="1:10" ht="12.75">
      <c r="A18" t="s">
        <v>240</v>
      </c>
      <c r="B18" s="64" t="s">
        <v>24</v>
      </c>
      <c r="C18" s="65">
        <v>295</v>
      </c>
      <c r="D18" s="65" t="s">
        <v>13</v>
      </c>
      <c r="E18">
        <v>1.021</v>
      </c>
      <c r="F18" s="74">
        <f t="shared" si="2"/>
        <v>1.021</v>
      </c>
      <c r="G18" s="74">
        <f t="shared" si="2"/>
        <v>1.021</v>
      </c>
      <c r="H18" s="74">
        <f t="shared" si="2"/>
        <v>1.021</v>
      </c>
      <c r="I18" s="74">
        <f t="shared" si="2"/>
        <v>1.021</v>
      </c>
      <c r="J18" s="74">
        <f t="shared" si="2"/>
        <v>1.021</v>
      </c>
    </row>
    <row r="19" spans="1:10" ht="12.75">
      <c r="A19" t="s">
        <v>241</v>
      </c>
      <c r="B19" s="64" t="s">
        <v>25</v>
      </c>
      <c r="C19" s="65">
        <v>330</v>
      </c>
      <c r="D19" s="65" t="s">
        <v>13</v>
      </c>
      <c r="E19">
        <v>0.949</v>
      </c>
      <c r="F19" s="74">
        <f t="shared" si="2"/>
        <v>0.949</v>
      </c>
      <c r="G19" s="74">
        <f t="shared" si="2"/>
        <v>0.949</v>
      </c>
      <c r="H19" s="74">
        <f t="shared" si="2"/>
        <v>0.949</v>
      </c>
      <c r="I19" s="74">
        <f t="shared" si="2"/>
        <v>0.949</v>
      </c>
      <c r="J19" s="74">
        <f t="shared" si="2"/>
        <v>0.949</v>
      </c>
    </row>
    <row r="20" spans="1:10" ht="12.75">
      <c r="A20" t="s">
        <v>242</v>
      </c>
      <c r="B20" s="64" t="s">
        <v>230</v>
      </c>
      <c r="C20" s="65" t="s">
        <v>13</v>
      </c>
      <c r="D20" s="65" t="s">
        <v>13</v>
      </c>
      <c r="E20">
        <v>1.082</v>
      </c>
      <c r="F20" s="74">
        <f t="shared" si="2"/>
        <v>1.082</v>
      </c>
      <c r="G20" s="74">
        <f t="shared" si="2"/>
        <v>1.082</v>
      </c>
      <c r="H20" s="74">
        <f t="shared" si="2"/>
        <v>1.082</v>
      </c>
      <c r="I20" s="74">
        <f t="shared" si="2"/>
        <v>1.082</v>
      </c>
      <c r="J20" s="74">
        <f t="shared" si="2"/>
        <v>1.082</v>
      </c>
    </row>
    <row r="21" spans="1:10" ht="12.75">
      <c r="A21" t="s">
        <v>264</v>
      </c>
      <c r="B21" s="10" t="s">
        <v>265</v>
      </c>
      <c r="C21" s="65" t="s">
        <v>13</v>
      </c>
      <c r="D21" s="65" t="s">
        <v>13</v>
      </c>
      <c r="E21">
        <v>1.133</v>
      </c>
      <c r="F21" s="76">
        <f t="shared" si="2"/>
        <v>1.133</v>
      </c>
      <c r="G21" s="76">
        <f t="shared" si="2"/>
        <v>1.133</v>
      </c>
      <c r="H21" s="76">
        <f t="shared" si="2"/>
        <v>1.133</v>
      </c>
      <c r="I21" s="76">
        <f t="shared" si="2"/>
        <v>1.133</v>
      </c>
      <c r="J21" s="76">
        <f t="shared" si="2"/>
        <v>1.133</v>
      </c>
    </row>
    <row r="22" spans="1:10" ht="12.75">
      <c r="A22" t="s">
        <v>26</v>
      </c>
      <c r="B22" s="64" t="s">
        <v>27</v>
      </c>
      <c r="C22" s="65" t="s">
        <v>13</v>
      </c>
      <c r="D22" s="65" t="s">
        <v>13</v>
      </c>
      <c r="E22">
        <v>1.303</v>
      </c>
      <c r="F22" s="74">
        <f t="shared" si="2"/>
        <v>1.303</v>
      </c>
      <c r="G22" s="74">
        <f t="shared" si="2"/>
        <v>1.303</v>
      </c>
      <c r="H22" s="74">
        <f t="shared" si="2"/>
        <v>1.303</v>
      </c>
      <c r="I22" s="74">
        <f t="shared" si="2"/>
        <v>1.303</v>
      </c>
      <c r="J22" s="74">
        <f t="shared" si="2"/>
        <v>1.303</v>
      </c>
    </row>
    <row r="23" spans="1:10" ht="12.75">
      <c r="A23" t="s">
        <v>243</v>
      </c>
      <c r="B23" s="64" t="s">
        <v>29</v>
      </c>
      <c r="C23" s="65">
        <v>308</v>
      </c>
      <c r="D23" s="65" t="s">
        <v>13</v>
      </c>
      <c r="E23">
        <v>1</v>
      </c>
      <c r="F23" s="74">
        <f t="shared" si="2"/>
        <v>1</v>
      </c>
      <c r="G23" s="74">
        <f t="shared" si="2"/>
        <v>1</v>
      </c>
      <c r="H23" s="74">
        <f t="shared" si="2"/>
        <v>1</v>
      </c>
      <c r="I23" s="74">
        <f t="shared" si="2"/>
        <v>1</v>
      </c>
      <c r="J23" s="74">
        <f t="shared" si="2"/>
        <v>1</v>
      </c>
    </row>
    <row r="24" spans="1:10" ht="12.75">
      <c r="A24" t="s">
        <v>30</v>
      </c>
      <c r="B24" s="64" t="s">
        <v>31</v>
      </c>
      <c r="C24" s="65" t="s">
        <v>13</v>
      </c>
      <c r="D24" s="65" t="s">
        <v>13</v>
      </c>
      <c r="E24">
        <v>1.505</v>
      </c>
      <c r="F24" s="74">
        <f t="shared" si="2"/>
        <v>1.505</v>
      </c>
      <c r="G24" s="74">
        <f t="shared" si="2"/>
        <v>1.505</v>
      </c>
      <c r="H24" s="74">
        <f t="shared" si="2"/>
        <v>1.505</v>
      </c>
      <c r="I24" s="74">
        <f t="shared" si="2"/>
        <v>1.505</v>
      </c>
      <c r="J24" s="74">
        <f t="shared" si="2"/>
        <v>1.505</v>
      </c>
    </row>
    <row r="25" spans="1:10" ht="12.75">
      <c r="A25" t="s">
        <v>245</v>
      </c>
      <c r="B25" s="75" t="s">
        <v>32</v>
      </c>
      <c r="C25" s="65">
        <v>145</v>
      </c>
      <c r="D25" s="65">
        <v>1</v>
      </c>
      <c r="E25">
        <v>1.249</v>
      </c>
      <c r="F25" s="74">
        <f t="shared" si="2"/>
        <v>1.249</v>
      </c>
      <c r="G25" s="74">
        <f t="shared" si="2"/>
        <v>1.249</v>
      </c>
      <c r="H25" s="74">
        <f t="shared" si="2"/>
        <v>1.249</v>
      </c>
      <c r="I25" s="74">
        <f t="shared" si="2"/>
        <v>1.249</v>
      </c>
      <c r="J25" s="74">
        <f t="shared" si="2"/>
        <v>1.249</v>
      </c>
    </row>
    <row r="26" spans="1:10" ht="12.75">
      <c r="A26" t="s">
        <v>246</v>
      </c>
      <c r="B26" s="75" t="s">
        <v>33</v>
      </c>
      <c r="C26" s="65">
        <v>145</v>
      </c>
      <c r="D26" s="65">
        <v>1</v>
      </c>
      <c r="E26">
        <v>1.117</v>
      </c>
      <c r="F26" s="74">
        <f t="shared" si="2"/>
        <v>1.117</v>
      </c>
      <c r="G26" s="74">
        <f t="shared" si="2"/>
        <v>1.117</v>
      </c>
      <c r="H26" s="74">
        <f t="shared" si="2"/>
        <v>1.117</v>
      </c>
      <c r="I26" s="74">
        <f t="shared" si="2"/>
        <v>1.117</v>
      </c>
      <c r="J26" s="74">
        <f t="shared" si="2"/>
        <v>1.117</v>
      </c>
    </row>
    <row r="27" spans="1:10" ht="12.75">
      <c r="A27" t="s">
        <v>267</v>
      </c>
      <c r="B27" s="75" t="s">
        <v>268</v>
      </c>
      <c r="C27" s="65">
        <v>290</v>
      </c>
      <c r="D27" s="65">
        <v>2</v>
      </c>
      <c r="E27">
        <v>1.018</v>
      </c>
      <c r="F27" s="76">
        <f t="shared" si="2"/>
        <v>1.018</v>
      </c>
      <c r="G27" s="76">
        <f t="shared" si="2"/>
        <v>1.018</v>
      </c>
      <c r="H27" s="76">
        <f t="shared" si="2"/>
        <v>1.018</v>
      </c>
      <c r="I27" s="76">
        <f t="shared" si="2"/>
        <v>1.018</v>
      </c>
      <c r="J27" s="76">
        <f t="shared" si="2"/>
        <v>1.018</v>
      </c>
    </row>
    <row r="28" spans="1:10" ht="12.75">
      <c r="A28" t="s">
        <v>247</v>
      </c>
      <c r="B28" s="75" t="s">
        <v>34</v>
      </c>
      <c r="C28" s="65">
        <v>145</v>
      </c>
      <c r="D28" s="65">
        <v>2</v>
      </c>
      <c r="E28">
        <v>1.005</v>
      </c>
      <c r="F28" s="74">
        <f aca="true" t="shared" si="3" ref="F28:J29">E28</f>
        <v>1.005</v>
      </c>
      <c r="G28" s="74">
        <f t="shared" si="3"/>
        <v>1.005</v>
      </c>
      <c r="H28" s="74">
        <f t="shared" si="3"/>
        <v>1.005</v>
      </c>
      <c r="I28" s="74">
        <f t="shared" si="3"/>
        <v>1.005</v>
      </c>
      <c r="J28" s="74">
        <f t="shared" si="3"/>
        <v>1.005</v>
      </c>
    </row>
    <row r="29" spans="1:10" ht="12.75">
      <c r="A29" t="s">
        <v>248</v>
      </c>
      <c r="B29" s="64" t="s">
        <v>36</v>
      </c>
      <c r="C29" s="65">
        <v>145</v>
      </c>
      <c r="D29" s="65">
        <v>1</v>
      </c>
      <c r="E29">
        <v>1.105</v>
      </c>
      <c r="F29" s="74">
        <f t="shared" si="3"/>
        <v>1.105</v>
      </c>
      <c r="G29" s="74">
        <f t="shared" si="3"/>
        <v>1.105</v>
      </c>
      <c r="H29" s="74">
        <f t="shared" si="3"/>
        <v>1.105</v>
      </c>
      <c r="I29" s="74">
        <f t="shared" si="3"/>
        <v>1.105</v>
      </c>
      <c r="J29" s="74">
        <f t="shared" si="3"/>
        <v>1.105</v>
      </c>
    </row>
    <row r="30" spans="1:10" ht="12.75">
      <c r="A30" t="s">
        <v>249</v>
      </c>
      <c r="B30" s="64" t="s">
        <v>37</v>
      </c>
      <c r="C30" s="65">
        <v>325</v>
      </c>
      <c r="D30" s="65">
        <v>2</v>
      </c>
      <c r="E30">
        <v>0.972</v>
      </c>
      <c r="F30" s="74">
        <f aca="true" t="shared" si="4" ref="F30:J37">E30</f>
        <v>0.972</v>
      </c>
      <c r="G30" s="74">
        <f t="shared" si="4"/>
        <v>0.972</v>
      </c>
      <c r="H30" s="74">
        <f t="shared" si="4"/>
        <v>0.972</v>
      </c>
      <c r="I30" s="74">
        <f t="shared" si="4"/>
        <v>0.972</v>
      </c>
      <c r="J30" s="74">
        <f t="shared" si="4"/>
        <v>0.972</v>
      </c>
    </row>
    <row r="31" spans="1:10" ht="12.75">
      <c r="A31" t="s">
        <v>269</v>
      </c>
      <c r="B31" s="77" t="s">
        <v>270</v>
      </c>
      <c r="C31" s="65" t="s">
        <v>13</v>
      </c>
      <c r="D31" s="65">
        <v>2</v>
      </c>
      <c r="E31">
        <v>0.88</v>
      </c>
      <c r="F31" s="76">
        <f t="shared" si="4"/>
        <v>0.88</v>
      </c>
      <c r="G31" s="76">
        <f t="shared" si="4"/>
        <v>0.88</v>
      </c>
      <c r="H31" s="76">
        <f t="shared" si="4"/>
        <v>0.88</v>
      </c>
      <c r="I31" s="76">
        <f t="shared" si="4"/>
        <v>0.88</v>
      </c>
      <c r="J31" s="76">
        <f t="shared" si="4"/>
        <v>0.88</v>
      </c>
    </row>
    <row r="32" spans="1:10" ht="12.75">
      <c r="A32" t="s">
        <v>259</v>
      </c>
      <c r="B32" s="10" t="s">
        <v>271</v>
      </c>
      <c r="C32" s="65">
        <v>325</v>
      </c>
      <c r="D32" s="65">
        <v>2</v>
      </c>
      <c r="E32">
        <v>0.856</v>
      </c>
      <c r="F32" s="74">
        <f t="shared" si="4"/>
        <v>0.856</v>
      </c>
      <c r="G32" s="74">
        <f t="shared" si="4"/>
        <v>0.856</v>
      </c>
      <c r="H32" s="74">
        <f t="shared" si="4"/>
        <v>0.856</v>
      </c>
      <c r="I32" s="74">
        <f t="shared" si="4"/>
        <v>0.856</v>
      </c>
      <c r="J32" s="74">
        <f t="shared" si="4"/>
        <v>0.856</v>
      </c>
    </row>
    <row r="33" spans="1:10" ht="12.75">
      <c r="A33" t="s">
        <v>272</v>
      </c>
      <c r="B33" s="10" t="s">
        <v>273</v>
      </c>
      <c r="C33" s="65" t="s">
        <v>13</v>
      </c>
      <c r="D33" s="65">
        <v>2</v>
      </c>
      <c r="E33">
        <v>0.856</v>
      </c>
      <c r="F33" s="76">
        <f t="shared" si="4"/>
        <v>0.856</v>
      </c>
      <c r="G33" s="76">
        <f t="shared" si="4"/>
        <v>0.856</v>
      </c>
      <c r="H33" s="76">
        <f t="shared" si="4"/>
        <v>0.856</v>
      </c>
      <c r="I33" s="76">
        <f t="shared" si="4"/>
        <v>0.856</v>
      </c>
      <c r="J33" s="76">
        <f t="shared" si="4"/>
        <v>0.856</v>
      </c>
    </row>
    <row r="34" spans="1:10" ht="12.75">
      <c r="A34" t="s">
        <v>244</v>
      </c>
      <c r="B34" s="64" t="s">
        <v>35</v>
      </c>
      <c r="C34" s="65">
        <v>175</v>
      </c>
      <c r="D34" s="65">
        <v>1</v>
      </c>
      <c r="E34">
        <v>0.993</v>
      </c>
      <c r="F34" s="74">
        <f t="shared" si="4"/>
        <v>0.993</v>
      </c>
      <c r="G34" s="74">
        <f t="shared" si="4"/>
        <v>0.993</v>
      </c>
      <c r="H34" s="74">
        <f t="shared" si="4"/>
        <v>0.993</v>
      </c>
      <c r="I34" s="74">
        <f t="shared" si="4"/>
        <v>0.993</v>
      </c>
      <c r="J34" s="74">
        <f t="shared" si="4"/>
        <v>0.993</v>
      </c>
    </row>
    <row r="35" spans="1:10" ht="12.75">
      <c r="A35" t="s">
        <v>38</v>
      </c>
      <c r="B35" s="64" t="s">
        <v>39</v>
      </c>
      <c r="C35" s="65">
        <v>300</v>
      </c>
      <c r="D35" s="65">
        <v>2</v>
      </c>
      <c r="E35">
        <v>1.135</v>
      </c>
      <c r="F35" s="74">
        <f t="shared" si="4"/>
        <v>1.135</v>
      </c>
      <c r="G35" s="74">
        <f t="shared" si="4"/>
        <v>1.135</v>
      </c>
      <c r="H35" s="74">
        <f t="shared" si="4"/>
        <v>1.135</v>
      </c>
      <c r="I35" s="74">
        <f t="shared" si="4"/>
        <v>1.135</v>
      </c>
      <c r="J35" s="74">
        <f t="shared" si="4"/>
        <v>1.135</v>
      </c>
    </row>
    <row r="36" spans="1:10" ht="12.75">
      <c r="A36" t="s">
        <v>274</v>
      </c>
      <c r="B36" s="10" t="s">
        <v>275</v>
      </c>
      <c r="C36" s="65">
        <v>295</v>
      </c>
      <c r="D36" s="65">
        <v>2</v>
      </c>
      <c r="E36">
        <v>1.062</v>
      </c>
      <c r="F36" s="76">
        <f t="shared" si="4"/>
        <v>1.062</v>
      </c>
      <c r="G36" s="76">
        <f t="shared" si="4"/>
        <v>1.062</v>
      </c>
      <c r="H36" s="76">
        <f t="shared" si="4"/>
        <v>1.062</v>
      </c>
      <c r="I36" s="76">
        <f t="shared" si="4"/>
        <v>1.062</v>
      </c>
      <c r="J36" s="76">
        <f t="shared" si="4"/>
        <v>1.062</v>
      </c>
    </row>
    <row r="37" spans="1:12" ht="12.75">
      <c r="A37" s="64" t="s">
        <v>40</v>
      </c>
      <c r="B37" s="64" t="s">
        <v>41</v>
      </c>
      <c r="C37" s="65" t="s">
        <v>13</v>
      </c>
      <c r="D37" s="65" t="s">
        <v>13</v>
      </c>
      <c r="E37">
        <f>K37/L37</f>
        <v>1.169871794871795</v>
      </c>
      <c r="F37" s="74">
        <f t="shared" si="4"/>
        <v>1.169871794871795</v>
      </c>
      <c r="G37" s="74">
        <f t="shared" si="4"/>
        <v>1.169871794871795</v>
      </c>
      <c r="H37" s="74">
        <f t="shared" si="4"/>
        <v>1.169871794871795</v>
      </c>
      <c r="I37" s="74">
        <f t="shared" si="4"/>
        <v>1.169871794871795</v>
      </c>
      <c r="J37" s="74">
        <f t="shared" si="4"/>
        <v>1.169871794871795</v>
      </c>
      <c r="K37" s="71">
        <v>73</v>
      </c>
      <c r="L37" s="64">
        <v>62.4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181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180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214</v>
      </c>
      <c r="B24" t="s">
        <v>215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44" bestFit="1" customWidth="1"/>
    <col min="10" max="10" width="3.8515625" style="44" bestFit="1" customWidth="1"/>
    <col min="11" max="11" width="4.00390625" style="44" bestFit="1" customWidth="1"/>
  </cols>
  <sheetData>
    <row r="1" spans="2:11" ht="12.75">
      <c r="B1" s="49" t="s">
        <v>216</v>
      </c>
      <c r="C1" s="48" t="s">
        <v>221</v>
      </c>
      <c r="D1" t="s">
        <v>103</v>
      </c>
      <c r="E1" t="s">
        <v>217</v>
      </c>
      <c r="F1" t="s">
        <v>218</v>
      </c>
      <c r="G1" t="s">
        <v>219</v>
      </c>
      <c r="H1" t="s">
        <v>220</v>
      </c>
      <c r="I1" s="50" t="s">
        <v>101</v>
      </c>
      <c r="J1" s="39" t="s">
        <v>90</v>
      </c>
      <c r="K1" s="39" t="s">
        <v>102</v>
      </c>
    </row>
    <row r="2" spans="1:11" ht="12.75">
      <c r="A2" s="21">
        <v>1</v>
      </c>
      <c r="B2" s="45">
        <v>0.4996527777777778</v>
      </c>
      <c r="C2" s="45">
        <v>0.6403125</v>
      </c>
      <c r="D2" s="45">
        <f>C2-B2</f>
        <v>0.14065972222222217</v>
      </c>
      <c r="E2" s="46">
        <f>D2</f>
        <v>0.14065972222222217</v>
      </c>
      <c r="F2">
        <f>I2/24</f>
        <v>0.125</v>
      </c>
      <c r="G2">
        <f>J2/60/24</f>
        <v>0.015277777777777777</v>
      </c>
      <c r="H2" s="46">
        <f>E2-F2-G2</f>
        <v>0.00038194444444439486</v>
      </c>
      <c r="I2" s="47">
        <f>ROUNDDOWN($D2*24,0)</f>
        <v>3</v>
      </c>
      <c r="J2" s="47">
        <f>ROUNDDOWN(($D2*24-I2)*60,0)</f>
        <v>22</v>
      </c>
      <c r="K2" s="47">
        <f>H2*60*60*24</f>
        <v>32.999999999995715</v>
      </c>
    </row>
    <row r="3" spans="1:8" ht="12.75">
      <c r="A3" s="21">
        <v>2</v>
      </c>
      <c r="E3" s="46"/>
      <c r="F3" s="46"/>
      <c r="G3" s="46"/>
      <c r="H3" s="46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2016-10-20T17:43:45Z</dcterms:modified>
  <cp:category/>
  <cp:version/>
  <cp:contentType/>
  <cp:contentStatus/>
</cp:coreProperties>
</file>