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7164" activeTab="0"/>
  </bookViews>
  <sheets>
    <sheet name="Race(4)" sheetId="1" r:id="rId1"/>
    <sheet name="Race(3)" sheetId="2" r:id="rId2"/>
    <sheet name="Race(2)" sheetId="3" r:id="rId3"/>
    <sheet name="Race(1)" sheetId="4" r:id="rId4"/>
    <sheet name="Overall-Results" sheetId="5" r:id="rId5"/>
    <sheet name="Instructions" sheetId="6" r:id="rId6"/>
    <sheet name="Beaufort" sheetId="7" r:id="rId7"/>
    <sheet name="Portsmouth" sheetId="8" r:id="rId8"/>
    <sheet name="Adjustment" sheetId="9" r:id="rId9"/>
    <sheet name="TimeConv" sheetId="10" r:id="rId10"/>
  </sheets>
  <definedNames/>
  <calcPr fullCalcOnLoad="1"/>
</workbook>
</file>

<file path=xl/sharedStrings.xml><?xml version="1.0" encoding="utf-8"?>
<sst xmlns="http://schemas.openxmlformats.org/spreadsheetml/2006/main" count="911" uniqueCount="478">
  <si>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</si>
  <si>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</si>
  <si>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</si>
  <si>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</si>
  <si>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</si>
  <si>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</si>
  <si>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</si>
  <si>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</si>
  <si>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</si>
  <si>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</si>
  <si>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</si>
  <si>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</si>
  <si>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</si>
  <si>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18m2 (Cat.1 Open)</t>
  </si>
  <si>
    <t>18SM-1</t>
  </si>
  <si>
    <t>nl</t>
  </si>
  <si>
    <t>18m2 (Cat.2 incl 11' N5.5</t>
  </si>
  <si>
    <t>18SM-2</t>
  </si>
  <si>
    <t>A Class Cat</t>
  </si>
  <si>
    <t>A-C</t>
  </si>
  <si>
    <t>A Class Cat &gt;200# all-up</t>
  </si>
  <si>
    <t>A-C2</t>
  </si>
  <si>
    <t>Antrim 30+ Tri</t>
  </si>
  <si>
    <t>ATM30</t>
  </si>
  <si>
    <t>ARC 21 ODR spi</t>
  </si>
  <si>
    <t>ARC21</t>
  </si>
  <si>
    <t>ARC 22 ODR &amp; SC22 spi</t>
  </si>
  <si>
    <t>ARC22</t>
  </si>
  <si>
    <t>Blade</t>
  </si>
  <si>
    <t>F16</t>
  </si>
  <si>
    <t>CFR20 Uni w/spi</t>
  </si>
  <si>
    <t>CFR20</t>
  </si>
  <si>
    <t>C Class Cat (Slp, 2-up)</t>
  </si>
  <si>
    <t>C-C</t>
  </si>
  <si>
    <t>Capricorn</t>
  </si>
  <si>
    <t>F18</t>
  </si>
  <si>
    <t>Dart 18 Sloop, 2-up</t>
  </si>
  <si>
    <t>D18</t>
  </si>
  <si>
    <t>Dart 18 Uni 1-up</t>
  </si>
  <si>
    <t>D18U</t>
  </si>
  <si>
    <t>Dart 20</t>
  </si>
  <si>
    <t>D20</t>
  </si>
  <si>
    <t>Dart Hawk</t>
  </si>
  <si>
    <t>Dingo</t>
  </si>
  <si>
    <t>DINGO</t>
  </si>
  <si>
    <t>Formula 16 Sloop spi</t>
  </si>
  <si>
    <t>Formula 18 Sloop spi</t>
  </si>
  <si>
    <t>Formula 18HT Uni 2up spi</t>
  </si>
  <si>
    <t>F18HTU</t>
  </si>
  <si>
    <t>F-24 Tri Mk I               All Sails</t>
  </si>
  <si>
    <t>F-24</t>
  </si>
  <si>
    <t>F-24 Tri Mk II              All Sails</t>
  </si>
  <si>
    <t>F-242</t>
  </si>
  <si>
    <t>F-25C Tri Carbon        All Sails</t>
  </si>
  <si>
    <t>F-25C</t>
  </si>
  <si>
    <t>F-27 Tri                     All Sails</t>
  </si>
  <si>
    <t>F-27</t>
  </si>
  <si>
    <t>F-27 Formula             All sails</t>
  </si>
  <si>
    <t>F-27F</t>
  </si>
  <si>
    <t>F-28 Tri Stock          Main&amp;Jib</t>
  </si>
  <si>
    <t>F-28</t>
  </si>
  <si>
    <t>F-28R Tri                   All Sails</t>
  </si>
  <si>
    <t>F-28R</t>
  </si>
  <si>
    <t>F-31 Tri Stock          Main&amp;Jib</t>
  </si>
  <si>
    <t>F-31</t>
  </si>
  <si>
    <t xml:space="preserve"> F-31R Tri                   All Sails</t>
  </si>
  <si>
    <t>F-31R</t>
  </si>
  <si>
    <t>F-750 Sprint  (24' )          All Sails</t>
  </si>
  <si>
    <t>F-750</t>
  </si>
  <si>
    <t>[69.9]</t>
  </si>
  <si>
    <t>[66.0]</t>
  </si>
  <si>
    <t>[63.2]</t>
  </si>
  <si>
    <t>G-Cat 5.0m</t>
  </si>
  <si>
    <t>G5.0</t>
  </si>
  <si>
    <t>G-Cat 5.7m</t>
  </si>
  <si>
    <t>G5.7</t>
  </si>
  <si>
    <t>Hobie 14</t>
  </si>
  <si>
    <t>H14</t>
  </si>
  <si>
    <t>Hobie 14 Turbo (1-up)</t>
  </si>
  <si>
    <t>H142</t>
  </si>
  <si>
    <t>Hobie 16</t>
  </si>
  <si>
    <t>H16</t>
  </si>
  <si>
    <t>Hobie 17 (1-up)</t>
  </si>
  <si>
    <t>H17</t>
  </si>
  <si>
    <t>Hobie 17 Sport Sloop, 2-up</t>
  </si>
  <si>
    <t>H17P</t>
  </si>
  <si>
    <t>Hobie 18 &amp; 18 Magnum</t>
  </si>
  <si>
    <t>H18</t>
  </si>
  <si>
    <t>Hobie 20 Miracle</t>
  </si>
  <si>
    <t>H20</t>
  </si>
  <si>
    <t>Hobie 21  no spi</t>
  </si>
  <si>
    <t>H21</t>
  </si>
  <si>
    <t>Hobie Fox spi</t>
  </si>
  <si>
    <t>HFOX</t>
  </si>
  <si>
    <t>Hobie FXOne jib n/s</t>
  </si>
  <si>
    <t>HFX1T</t>
  </si>
  <si>
    <t>[70.1]</t>
  </si>
  <si>
    <t>Hobie FXOne spi 1-up</t>
  </si>
  <si>
    <t>HFX1S</t>
  </si>
  <si>
    <t>Hobie Getaway</t>
  </si>
  <si>
    <t>HGET</t>
  </si>
  <si>
    <t>Hobie SX-18 spi</t>
  </si>
  <si>
    <t>H18SX</t>
  </si>
  <si>
    <t>Hobie Tiger</t>
  </si>
  <si>
    <t>Hobie Tiger ODR spi</t>
  </si>
  <si>
    <t>HTIG</t>
  </si>
  <si>
    <t>Hobie Trifoiler</t>
  </si>
  <si>
    <t>HTRIF</t>
  </si>
  <si>
    <t>[75.0]</t>
  </si>
  <si>
    <t>Hobie Wave</t>
  </si>
  <si>
    <t>HWAV</t>
  </si>
  <si>
    <t>Isotope (Sloop, 1-up)</t>
  </si>
  <si>
    <t>ISTP</t>
  </si>
  <si>
    <t>ISTP-2 Isotope (Sloop, 2-up)</t>
  </si>
  <si>
    <t>ISTP-2</t>
  </si>
  <si>
    <t>Loka   (A Class)</t>
  </si>
  <si>
    <t>LOKA</t>
  </si>
  <si>
    <t>Marstrom 20 carbon spi</t>
  </si>
  <si>
    <t>M20</t>
  </si>
  <si>
    <t>Mystere 4.3 Sloop 1-2 Cr &amp; spi</t>
  </si>
  <si>
    <t>M4.3S</t>
  </si>
  <si>
    <t>Mystere 4.3 Uni 1-up n/s</t>
  </si>
  <si>
    <t>M4.3U</t>
  </si>
  <si>
    <t>[88.9]</t>
  </si>
  <si>
    <t>[83.9]</t>
  </si>
  <si>
    <t>[79.0]</t>
  </si>
  <si>
    <t>Mystere 5.0 XL, 2-up</t>
  </si>
  <si>
    <t>M5.0XL</t>
  </si>
  <si>
    <t>Mystere 5.5 8.5' Sloop</t>
  </si>
  <si>
    <t>M5.5</t>
  </si>
  <si>
    <t>Mystere 6.0</t>
  </si>
  <si>
    <t>M6.0</t>
  </si>
  <si>
    <t>Mystere 6.0XL &amp; 6.0XL w/wgs</t>
  </si>
  <si>
    <t>M6.0XL</t>
  </si>
  <si>
    <t>Mystere Twister F18 Spi</t>
  </si>
  <si>
    <t>Nacra 4.5/450 Turbo 1-up</t>
  </si>
  <si>
    <t>N450T</t>
  </si>
  <si>
    <t>Nacra 5.0 (2-up)</t>
  </si>
  <si>
    <t>N5.0</t>
  </si>
  <si>
    <t>Nacra 5.2 (2-up)</t>
  </si>
  <si>
    <t>N5.2</t>
  </si>
  <si>
    <t>Nacra 5.5 8.5' Sloop</t>
  </si>
  <si>
    <t>N5.5</t>
  </si>
  <si>
    <t>Nacra 5.5 Uni 11' beam (see 1* square)</t>
  </si>
  <si>
    <t>Nacra 5.5 8.5' Uni</t>
  </si>
  <si>
    <t>N5.5U</t>
  </si>
  <si>
    <t>Nacra 5.7 (2-up)</t>
  </si>
  <si>
    <t>N5.7</t>
  </si>
  <si>
    <t>Nacra 5.8 Orig. (2-up)</t>
  </si>
  <si>
    <t>N5.8</t>
  </si>
  <si>
    <t>Nacra 5.8 No. Amer.</t>
  </si>
  <si>
    <t>N5.8NA</t>
  </si>
  <si>
    <t>Nacra 500 (2-up)</t>
  </si>
  <si>
    <t>N500</t>
  </si>
  <si>
    <t>Nacra 570 (2-up)</t>
  </si>
  <si>
    <t>N570</t>
  </si>
  <si>
    <t>Nacra 6.0 Orig.</t>
  </si>
  <si>
    <t>N6.0</t>
  </si>
  <si>
    <t>Nacra 6.0 No. Amer.</t>
  </si>
  <si>
    <t>N6.0NA</t>
  </si>
  <si>
    <t>Nacra 6.0na New England spi</t>
  </si>
  <si>
    <t>N6.0NE</t>
  </si>
  <si>
    <t>Nacra F18 Sloop spi</t>
  </si>
  <si>
    <t>Nacra Inter 17R Uni 30' spi</t>
  </si>
  <si>
    <t>NF17</t>
  </si>
  <si>
    <t>Nacra Inter 17 Uni 28'</t>
  </si>
  <si>
    <t>N17</t>
  </si>
  <si>
    <t>Nacra Inter 18 spi (not F18)</t>
  </si>
  <si>
    <t>MI18</t>
  </si>
  <si>
    <t>Nacra Inter 20 spi</t>
  </si>
  <si>
    <t>N20</t>
  </si>
  <si>
    <t>Phoenix</t>
  </si>
  <si>
    <t>PH</t>
  </si>
  <si>
    <t>Pixel 23 Outrigger spi</t>
  </si>
  <si>
    <t>PIX23</t>
  </si>
  <si>
    <t>Prindle 15</t>
  </si>
  <si>
    <t>P15</t>
  </si>
  <si>
    <t>Prindle 16</t>
  </si>
  <si>
    <t>P16</t>
  </si>
  <si>
    <t>Prindle 18</t>
  </si>
  <si>
    <t>P18</t>
  </si>
  <si>
    <t>Prindle 18-2</t>
  </si>
  <si>
    <t>P182</t>
  </si>
  <si>
    <t>Prindle 19</t>
  </si>
  <si>
    <t>P19</t>
  </si>
  <si>
    <t>Prindle 19MX no spi</t>
  </si>
  <si>
    <t>P19MX</t>
  </si>
  <si>
    <t>Raider 30</t>
  </si>
  <si>
    <t>RDR30</t>
  </si>
  <si>
    <t>[61.9]</t>
  </si>
  <si>
    <t>RC-27 All Sails</t>
  </si>
  <si>
    <t>RC-27/41</t>
  </si>
  <si>
    <t>[56.0]</t>
  </si>
  <si>
    <t>RC-27 All Sails M.Hd spi</t>
  </si>
  <si>
    <t>RC-27/44</t>
  </si>
  <si>
    <t>RC-30 All Sails</t>
  </si>
  <si>
    <t>RC-30/45</t>
  </si>
  <si>
    <t>RC-30 All Sails (MugRig)</t>
  </si>
  <si>
    <t>RC-30/41</t>
  </si>
  <si>
    <t>[55.6]</t>
  </si>
  <si>
    <t>Reynolds 21</t>
  </si>
  <si>
    <t>REY21</t>
  </si>
  <si>
    <t>Reynolds 33</t>
  </si>
  <si>
    <t>REY33</t>
  </si>
  <si>
    <t>Sea Spray 15 (Sea Moth)</t>
  </si>
  <si>
    <t>SPY15</t>
  </si>
  <si>
    <t>Shark</t>
  </si>
  <si>
    <t>SK</t>
  </si>
  <si>
    <t>SL 16 Slp spi</t>
  </si>
  <si>
    <t>SL16</t>
  </si>
  <si>
    <t>[73.0]</t>
  </si>
  <si>
    <t>Stiletto 23  3-up</t>
  </si>
  <si>
    <t>STL23</t>
  </si>
  <si>
    <t>Stiletto 27</t>
  </si>
  <si>
    <t>STL27</t>
  </si>
  <si>
    <t>Stiletto 27 All Sails</t>
  </si>
  <si>
    <t>STL27R</t>
  </si>
  <si>
    <t>Stiletto 30</t>
  </si>
  <si>
    <t>STL30</t>
  </si>
  <si>
    <t>SuperCat 15 Sloop</t>
  </si>
  <si>
    <t>SC152</t>
  </si>
  <si>
    <t>SuperCat 15 Uni</t>
  </si>
  <si>
    <t>SC15</t>
  </si>
  <si>
    <t>SuperCat 17</t>
  </si>
  <si>
    <t>SC17</t>
  </si>
  <si>
    <t>SuperCat 19</t>
  </si>
  <si>
    <t>SC19</t>
  </si>
  <si>
    <t>SuperCat 19X &amp; 19XL</t>
  </si>
  <si>
    <t>SC19X</t>
  </si>
  <si>
    <t>SuperCat 20 33' mast n/s</t>
  </si>
  <si>
    <t>SC20</t>
  </si>
  <si>
    <t>SuperCat 20 TallRig n/s</t>
  </si>
  <si>
    <t>SC20H</t>
  </si>
  <si>
    <t>Taipan 4.9 Slp no spi</t>
  </si>
  <si>
    <t>T4.9</t>
  </si>
  <si>
    <t>Taipan 4.9 Uni 1up no sp</t>
  </si>
  <si>
    <t>T4.9U</t>
  </si>
  <si>
    <t>Taipan 4.9 w/spi</t>
  </si>
  <si>
    <t>Taipan 5.7 Sloop w/spi</t>
  </si>
  <si>
    <t>T5.7</t>
  </si>
  <si>
    <t>T-Gull 23</t>
  </si>
  <si>
    <t>TGL23</t>
  </si>
  <si>
    <t>TopCat K3</t>
  </si>
  <si>
    <t>TOPC3</t>
  </si>
  <si>
    <t>Tornado (Int.) 2 Trap &amp; spi</t>
  </si>
  <si>
    <t>TORN</t>
  </si>
  <si>
    <t>Tornado  1-Trap no spi</t>
  </si>
  <si>
    <t>TORN2</t>
  </si>
  <si>
    <t>TRC14 Trac 14</t>
  </si>
  <si>
    <t>TRC14</t>
  </si>
  <si>
    <t>TRC16 Trac 16</t>
  </si>
  <si>
    <t>TRC16</t>
  </si>
  <si>
    <t>Unicorn (A Class)</t>
  </si>
  <si>
    <t>UC-A</t>
  </si>
  <si>
    <t>WindRider 16 Tri</t>
  </si>
  <si>
    <t>WR-16</t>
  </si>
  <si>
    <t xml:space="preserve"> WindRider 17 Tri</t>
  </si>
  <si>
    <t>WR-17</t>
  </si>
  <si>
    <t>[81.5]</t>
  </si>
  <si>
    <t>WindRider Rave OD Tri</t>
  </si>
  <si>
    <t>WRAV</t>
  </si>
  <si>
    <t>[80.0]</t>
  </si>
  <si>
    <t xml:space="preserve"> WindRider Rave OD scrchr</t>
  </si>
  <si>
    <t>WRAV2</t>
  </si>
  <si>
    <t>[77.0]</t>
  </si>
  <si>
    <t xml:space="preserve"> WindRider Rave Formula</t>
  </si>
  <si>
    <t>WRAVF</t>
  </si>
  <si>
    <t>[76.5]</t>
  </si>
  <si>
    <t>Wilson 16 Outrigger</t>
  </si>
  <si>
    <t>WLS16</t>
  </si>
  <si>
    <t/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</si>
  <si>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</si>
  <si>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</si>
  <si>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</si>
  <si>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</si>
  <si>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</si>
  <si>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</si>
  <si>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</si>
  <si>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</si>
  <si>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</si>
  <si>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</si>
  <si>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</si>
  <si>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</si>
  <si>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</si>
  <si>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</si>
  <si>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</si>
  <si>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</si>
  <si>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</si>
  <si>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</si>
  <si>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</si>
  <si>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</si>
  <si>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</si>
  <si>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</si>
  <si>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</si>
  <si>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</si>
  <si>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</si>
  <si>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</si>
  <si>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</si>
  <si>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</si>
  <si>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</si>
  <si>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</si>
  <si>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</si>
  <si>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</si>
  <si>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</si>
  <si>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</si>
  <si>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</si>
  <si>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</si>
  <si>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</si>
  <si>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</si>
  <si>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</si>
  <si>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</si>
  <si>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</si>
  <si>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</si>
  <si>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</si>
  <si>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</si>
  <si>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</si>
  <si>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</si>
  <si>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</si>
  <si>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</si>
  <si>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Mods</t>
  </si>
  <si>
    <t>Min</t>
  </si>
  <si>
    <t>Sign-In</t>
  </si>
  <si>
    <t>Skipper</t>
  </si>
  <si>
    <t>Crew</t>
  </si>
  <si>
    <t>Sail #</t>
  </si>
  <si>
    <t>Wt</t>
  </si>
  <si>
    <t>M1</t>
  </si>
  <si>
    <t>M2</t>
  </si>
  <si>
    <t>Wt.</t>
  </si>
  <si>
    <t>%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</si>
  <si>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</si>
  <si>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</si>
  <si>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</si>
  <si>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</si>
  <si>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</si>
  <si>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</si>
  <si>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</si>
  <si>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</si>
  <si>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</si>
  <si>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</si>
  <si>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</si>
  <si>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</si>
  <si>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</si>
  <si>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</si>
  <si>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</si>
  <si>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</si>
  <si>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</si>
  <si>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</si>
  <si>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</si>
  <si>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</si>
  <si>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</si>
  <si>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</si>
  <si>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</si>
  <si>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</si>
  <si>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</si>
  <si>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</si>
  <si>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</si>
  <si>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</si>
  <si>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</si>
  <si>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</si>
  <si>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</si>
  <si>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</si>
  <si>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</si>
  <si>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</si>
  <si>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</si>
  <si>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</si>
  <si>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</si>
  <si>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</si>
  <si>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</si>
  <si>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</si>
  <si>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</si>
  <si>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</si>
  <si>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</si>
  <si>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</si>
  <si>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</si>
  <si>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</si>
  <si>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</si>
  <si>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</si>
  <si>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</si>
  <si>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</si>
  <si>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</si>
  <si>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</si>
  <si>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</si>
  <si>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</si>
  <si>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</si>
  <si>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</si>
  <si>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</si>
  <si>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</si>
  <si>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</si>
  <si>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</si>
  <si>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</si>
  <si>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</si>
  <si>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</si>
  <si>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</si>
  <si>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Weight</t>
  </si>
  <si>
    <t>Enter Beufort on Race(1)</t>
  </si>
  <si>
    <t>Enter Sign-In Sheet#'s, SORT, Delete excess entries</t>
  </si>
  <si>
    <t>Bill Raska</t>
  </si>
  <si>
    <t>Bob Jopson</t>
  </si>
  <si>
    <t>Tommy Butler</t>
  </si>
  <si>
    <t>George Evans</t>
  </si>
  <si>
    <t>Noah Herzon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</si>
  <si>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</si>
  <si>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</si>
  <si>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</si>
  <si>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</si>
  <si>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</si>
  <si>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</si>
  <si>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</si>
  <si>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</si>
  <si>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</si>
  <si>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</si>
  <si>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</si>
  <si>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</si>
  <si>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</si>
  <si>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</si>
  <si>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</si>
  <si>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</si>
  <si>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</si>
  <si>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http://offshore.ussailing.org/Portsmouth_Yardstick/Tables_2010/Multihull_Classes.htm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</si>
  <si>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</si>
  <si>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</si>
  <si>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</si>
  <si>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</si>
  <si>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</si>
  <si>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</si>
  <si>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</si>
  <si>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</si>
  <si>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</si>
  <si>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</si>
  <si>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</si>
  <si>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</si>
  <si>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</si>
  <si>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</si>
  <si>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</si>
  <si>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</si>
  <si>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</si>
  <si>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</si>
  <si>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</si>
  <si>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</si>
  <si>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</si>
  <si>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</si>
  <si>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</si>
  <si>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</si>
  <si>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</si>
  <si>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sn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</si>
  <si>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</si>
  <si>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</si>
  <si>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</si>
  <si>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</si>
  <si>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</si>
  <si>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</si>
  <si>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</si>
  <si>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Peter Shearer</t>
  </si>
  <si>
    <t>With Wings</t>
  </si>
  <si>
    <t>WW</t>
  </si>
  <si>
    <t>Gary Butler</t>
  </si>
  <si>
    <t>Jack Puk</t>
  </si>
  <si>
    <t>Luke</t>
  </si>
  <si>
    <t>John Sulllivan</t>
  </si>
  <si>
    <t>Al Dewan</t>
  </si>
  <si>
    <t>Kat Kulkoski</t>
  </si>
  <si>
    <t>Seth Herzon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</si>
  <si>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</si>
  <si>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</si>
  <si>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</si>
  <si>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</si>
  <si>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</si>
  <si>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</si>
  <si>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</si>
  <si>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hwav</t>
  </si>
  <si>
    <t>nick</t>
  </si>
  <si>
    <t xml:space="preserve">joe   </t>
  </si>
  <si>
    <t xml:space="preserve">Dan </t>
  </si>
  <si>
    <t>Emily</t>
  </si>
  <si>
    <t>dnf</t>
  </si>
  <si>
    <t>dns</t>
  </si>
  <si>
    <t>7/102688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</si>
</sst>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2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sz val="9"/>
      <name val="Geneva"/>
      <family val="0"/>
    </font>
    <font>
      <sz val="10"/>
      <name val="Geneva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vertical="top"/>
    </xf>
    <xf numFmtId="164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0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 horizontal="center"/>
    </xf>
    <xf numFmtId="0" fontId="8" fillId="0" borderId="10" xfId="0" applyNumberFormat="1" applyFont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 horizontal="center" vertical="top"/>
      <protection/>
    </xf>
    <xf numFmtId="167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7" fillId="0" borderId="10" xfId="15" applyFont="1" applyBorder="1" applyAlignment="1" applyProtection="1">
      <alignment horizontal="center" vertical="top"/>
      <protection/>
    </xf>
    <xf numFmtId="166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2" fontId="7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8" fillId="2" borderId="10" xfId="15" applyNumberFormat="1" applyFont="1" applyFill="1" applyBorder="1" applyAlignment="1" applyProtection="1">
      <alignment horizontal="center" vertical="top"/>
      <protection/>
    </xf>
    <xf numFmtId="0" fontId="8" fillId="2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7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1" fontId="7" fillId="0" borderId="10" xfId="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2" fontId="0" fillId="0" borderId="10" xfId="15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11" xfId="15" applyNumberFormat="1" applyFont="1" applyBorder="1" applyAlignment="1" applyProtection="1">
      <alignment horizontal="center" vertical="top"/>
      <protection/>
    </xf>
    <xf numFmtId="167" fontId="6" fillId="0" borderId="12" xfId="15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35"/>
  <sheetViews>
    <sheetView tabSelected="1" workbookViewId="0" topLeftCell="A1">
      <pane ySplit="2" topLeftCell="BM3" activePane="bottomLeft" state="frozen"/>
      <selection pane="topLeft" activeCell="A1" sqref="A1"/>
      <selection pane="bottomLeft" activeCell="O2" sqref="O2"/>
    </sheetView>
  </sheetViews>
  <sheetFormatPr defaultColWidth="9.140625" defaultRowHeight="12.75"/>
  <cols>
    <col min="1" max="1" width="7.28125" style="72" bestFit="1" customWidth="1"/>
    <col min="2" max="2" width="5.421875" style="33" bestFit="1" customWidth="1"/>
    <col min="3" max="3" width="15.140625" style="33" bestFit="1" customWidth="1"/>
    <col min="4" max="4" width="16.00390625" style="33" bestFit="1" customWidth="1"/>
    <col min="5" max="5" width="6.7109375" style="33" bestFit="1" customWidth="1"/>
    <col min="6" max="6" width="6.140625" style="33" bestFit="1" customWidth="1"/>
    <col min="7" max="7" width="4.00390625" style="33" bestFit="1" customWidth="1"/>
    <col min="8" max="8" width="3.57421875" style="33" bestFit="1" customWidth="1"/>
    <col min="9" max="9" width="3.28125" style="33" bestFit="1" customWidth="1"/>
    <col min="10" max="10" width="3.7109375" style="33" bestFit="1" customWidth="1"/>
    <col min="11" max="11" width="3.8515625" style="33" bestFit="1" customWidth="1"/>
    <col min="12" max="12" width="7.7109375" style="73" bestFit="1" customWidth="1"/>
    <col min="13" max="13" width="7.7109375" style="74" bestFit="1" customWidth="1"/>
    <col min="14" max="14" width="6.7109375" style="75" bestFit="1" customWidth="1"/>
    <col min="15" max="15" width="7.7109375" style="75" bestFit="1" customWidth="1"/>
    <col min="16" max="16" width="3.7109375" style="69" bestFit="1" customWidth="1"/>
    <col min="17" max="17" width="3.8515625" style="58" bestFit="1" customWidth="1"/>
    <col min="18" max="18" width="4.00390625" style="58" bestFit="1" customWidth="1"/>
    <col min="19" max="19" width="7.7109375" style="76" bestFit="1" customWidth="1"/>
    <col min="20" max="20" width="9.28125" style="76" bestFit="1" customWidth="1"/>
    <col min="21" max="16384" width="8.7109375" style="33" customWidth="1"/>
  </cols>
  <sheetData>
    <row r="1" spans="1:20" ht="12.75">
      <c r="A1" s="70" t="s">
        <v>447</v>
      </c>
      <c r="B1" s="27"/>
      <c r="C1" s="55">
        <v>3</v>
      </c>
      <c r="D1" s="56" t="s">
        <v>446</v>
      </c>
      <c r="E1" s="28"/>
      <c r="F1" s="29"/>
      <c r="G1" s="29"/>
      <c r="H1" s="77" t="s">
        <v>319</v>
      </c>
      <c r="I1" s="77"/>
      <c r="J1" s="77"/>
      <c r="K1" s="31" t="s">
        <v>320</v>
      </c>
      <c r="L1" s="31" t="s">
        <v>394</v>
      </c>
      <c r="M1" s="79" t="s">
        <v>450</v>
      </c>
      <c r="N1" s="80"/>
      <c r="O1" s="54">
        <v>1</v>
      </c>
      <c r="P1" s="78" t="s">
        <v>448</v>
      </c>
      <c r="Q1" s="78"/>
      <c r="R1" s="78"/>
      <c r="S1" s="78"/>
      <c r="T1" s="78"/>
    </row>
    <row r="2" spans="1:20" ht="12.75">
      <c r="A2" s="70" t="s">
        <v>321</v>
      </c>
      <c r="B2" s="28" t="s">
        <v>409</v>
      </c>
      <c r="C2" s="28" t="s">
        <v>322</v>
      </c>
      <c r="D2" s="28" t="s">
        <v>323</v>
      </c>
      <c r="E2" s="28" t="s">
        <v>324</v>
      </c>
      <c r="F2" s="31" t="s">
        <v>5</v>
      </c>
      <c r="G2" s="31" t="s">
        <v>325</v>
      </c>
      <c r="H2" s="30" t="s">
        <v>326</v>
      </c>
      <c r="I2" s="30" t="s">
        <v>327</v>
      </c>
      <c r="J2" s="30" t="s">
        <v>328</v>
      </c>
      <c r="K2" s="30" t="s">
        <v>328</v>
      </c>
      <c r="L2" s="34" t="s">
        <v>329</v>
      </c>
      <c r="M2" s="35" t="s">
        <v>330</v>
      </c>
      <c r="N2" s="32" t="s">
        <v>331</v>
      </c>
      <c r="O2" s="32" t="s">
        <v>332</v>
      </c>
      <c r="P2" s="68" t="s">
        <v>333</v>
      </c>
      <c r="Q2" s="57" t="s">
        <v>320</v>
      </c>
      <c r="R2" s="57" t="s">
        <v>334</v>
      </c>
      <c r="S2" s="52" t="s">
        <v>335</v>
      </c>
      <c r="T2" s="52" t="s">
        <v>336</v>
      </c>
    </row>
    <row r="3" spans="1:20" ht="12.75">
      <c r="A3" s="72">
        <v>2</v>
      </c>
      <c r="B3" s="26">
        <v>1</v>
      </c>
      <c r="C3" s="36" t="s">
        <v>400</v>
      </c>
      <c r="D3" s="36"/>
      <c r="E3" s="37">
        <v>723</v>
      </c>
      <c r="F3" s="37" t="s">
        <v>164</v>
      </c>
      <c r="G3" s="38">
        <v>175</v>
      </c>
      <c r="J3" s="33">
        <f aca="true" t="shared" si="0" ref="J3:J14">IF(OR(F3="",K3="nl"),"",IF(L3&lt;70,"L4",IF(L3&lt;80,"L3",IF(L3&lt;90,"L2",IF(L3&lt;100,"L1",IF(L3&gt;130,"H3",IF(L3&gt;120,"H2",IF(L3&gt;110,"H1",""))))))))</f>
      </c>
      <c r="K3" s="33">
        <f>IF(F3="","",INDEX(Portsmouth!$A$1:J$999,MATCH(F3,Portsmouth!$B$1:$B$999,0),3))</f>
        <v>175</v>
      </c>
      <c r="L3" s="73">
        <f aca="true" t="shared" si="1" ref="L3:L14">IF(F3="","",IF(K3="nl",100,100*G3/K3))</f>
        <v>100</v>
      </c>
      <c r="M3" s="74">
        <f>IF(F3="","",INDEX(Portsmouth!$A$1:$J$999,MATCH(F3,Portsmouth!$B$1:$B$999,0),$C$1+5))</f>
        <v>68</v>
      </c>
      <c r="N3" s="75">
        <f>IF(F3="","",IF(H3="",1,INDEX(Adjustment!$A$1:$H$99,MATCH(H3,Adjustment!$B$1:$B$99,0),$C$1+3))*IF(I3="",1,INDEX(Adjustment!$A$1:$H$99,MATCH(I3,Adjustment!$B$1:$B$99,0),$C$1+3))*IF(J3="",1,INDEX(Adjustment!$A$1:$H$99,MATCH(J3,Adjustment!$B$1:$B$99,0),$C$1+3)))</f>
        <v>1</v>
      </c>
      <c r="O3" s="75">
        <f aca="true" t="shared" si="2" ref="O3:O14">IF(F3="","",M3*N3)</f>
        <v>68</v>
      </c>
      <c r="P3" s="69">
        <v>0</v>
      </c>
      <c r="Q3" s="58">
        <v>22</v>
      </c>
      <c r="R3" s="58">
        <v>47</v>
      </c>
      <c r="S3" s="76">
        <f aca="true" t="shared" si="3" ref="S3:S14">IF(R3="","",IF(TYPE(R3)=2,R3,(P3*60+Q3+(R3/60))))</f>
        <v>22.783333333333335</v>
      </c>
      <c r="T3" s="76">
        <f aca="true" t="shared" si="4" ref="T3:T14">IF(S3="","",IF(TYPE(R3)=2,S3,S3/(O3*0.01)))</f>
        <v>33.504901960784316</v>
      </c>
    </row>
    <row r="4" spans="1:20" ht="12.75">
      <c r="A4" s="71">
        <v>11</v>
      </c>
      <c r="B4" s="26">
        <v>2</v>
      </c>
      <c r="C4" s="36" t="s">
        <v>459</v>
      </c>
      <c r="D4" s="36" t="s">
        <v>460</v>
      </c>
      <c r="E4" s="37">
        <v>2492</v>
      </c>
      <c r="F4" s="37" t="s">
        <v>35</v>
      </c>
      <c r="G4" s="38">
        <v>360</v>
      </c>
      <c r="J4" s="33">
        <f t="shared" si="0"/>
      </c>
      <c r="K4" s="33">
        <f>IF(F4="","",INDEX(Portsmouth!$A$1:J$999,MATCH(F4,Portsmouth!$B$1:$B$999,0),3))</f>
        <v>330</v>
      </c>
      <c r="L4" s="73">
        <f t="shared" si="1"/>
        <v>109.0909090909091</v>
      </c>
      <c r="M4" s="74">
        <f>IF(F4="","",INDEX(Portsmouth!$A$1:$J$999,MATCH(F4,Portsmouth!$B$1:$B$999,0),$C$1+5))</f>
        <v>63.9</v>
      </c>
      <c r="N4" s="75">
        <f>IF(F4="","",IF(H4="",1,INDEX(Adjustment!$A$1:$H$99,MATCH(H4,Adjustment!$B$1:$B$99,0),$C$1+3))*IF(I4="",1,INDEX(Adjustment!$A$1:$H$99,MATCH(I4,Adjustment!$B$1:$B$99,0),$C$1+3))*IF(J4="",1,INDEX(Adjustment!$A$1:$H$99,MATCH(J4,Adjustment!$B$1:$B$99,0),$C$1+3)))</f>
        <v>1</v>
      </c>
      <c r="O4" s="75">
        <f t="shared" si="2"/>
        <v>63.9</v>
      </c>
      <c r="P4" s="69">
        <v>0</v>
      </c>
      <c r="Q4" s="58">
        <v>22</v>
      </c>
      <c r="R4" s="58">
        <v>20</v>
      </c>
      <c r="S4" s="76">
        <f t="shared" si="3"/>
        <v>22.333333333333332</v>
      </c>
      <c r="T4" s="76">
        <f t="shared" si="4"/>
        <v>34.95044340114762</v>
      </c>
    </row>
    <row r="5" spans="1:20" ht="12.75">
      <c r="A5" s="71">
        <v>9</v>
      </c>
      <c r="B5" s="26">
        <v>3</v>
      </c>
      <c r="C5" s="33" t="s">
        <v>458</v>
      </c>
      <c r="D5" s="36" t="s">
        <v>457</v>
      </c>
      <c r="E5" s="37">
        <v>1001</v>
      </c>
      <c r="F5" s="37" t="s">
        <v>170</v>
      </c>
      <c r="G5" s="38">
        <v>420</v>
      </c>
      <c r="J5" s="33" t="str">
        <f t="shared" si="0"/>
        <v>H2</v>
      </c>
      <c r="K5" s="33">
        <f>IF(F5="","",INDEX(Portsmouth!$A$1:J$999,MATCH(F5,Portsmouth!$B$1:$B$999,0),3))</f>
        <v>325</v>
      </c>
      <c r="L5" s="73">
        <f t="shared" si="1"/>
        <v>129.23076923076923</v>
      </c>
      <c r="M5" s="74">
        <f>IF(F5="","",INDEX(Portsmouth!$A$1:$J$999,MATCH(F5,Portsmouth!$B$1:$B$999,0),$C$1+5))</f>
        <v>60.2</v>
      </c>
      <c r="N5" s="75">
        <f>IF(F5="","",IF(H5="",1,INDEX(Adjustment!$A$1:$H$99,MATCH(H5,Adjustment!$B$1:$B$99,0),$C$1+3))*IF(I5="",1,INDEX(Adjustment!$A$1:$H$99,MATCH(I5,Adjustment!$B$1:$B$99,0),$C$1+3))*IF(J5="",1,INDEX(Adjustment!$A$1:$H$99,MATCH(J5,Adjustment!$B$1:$B$99,0),$C$1+3)))</f>
        <v>1.013</v>
      </c>
      <c r="O5" s="75">
        <f t="shared" si="2"/>
        <v>60.9826</v>
      </c>
      <c r="P5" s="69">
        <v>0</v>
      </c>
      <c r="Q5" s="58">
        <v>21</v>
      </c>
      <c r="R5" s="58">
        <v>27</v>
      </c>
      <c r="S5" s="76">
        <f t="shared" si="3"/>
        <v>21.45</v>
      </c>
      <c r="T5" s="76">
        <f t="shared" si="4"/>
        <v>35.17396765634788</v>
      </c>
    </row>
    <row r="6" spans="1:20" ht="12.75">
      <c r="A6" s="72">
        <v>5</v>
      </c>
      <c r="B6" s="26">
        <v>4</v>
      </c>
      <c r="C6" s="36" t="s">
        <v>398</v>
      </c>
      <c r="D6" s="36"/>
      <c r="E6" s="37">
        <v>6661</v>
      </c>
      <c r="F6" s="37" t="s">
        <v>83</v>
      </c>
      <c r="G6" s="38">
        <v>200</v>
      </c>
      <c r="J6" s="33" t="str">
        <f t="shared" si="0"/>
        <v>H2</v>
      </c>
      <c r="K6" s="33">
        <f>IF(F6="","",INDEX(Portsmouth!$A$1:J$999,MATCH(F6,Portsmouth!$B$1:$B$999,0),3))</f>
        <v>160</v>
      </c>
      <c r="L6" s="73">
        <f t="shared" si="1"/>
        <v>125</v>
      </c>
      <c r="M6" s="74">
        <f>IF(F6="","",INDEX(Portsmouth!$A$1:$J$999,MATCH(F6,Portsmouth!$B$1:$B$999,0),$C$1+5))</f>
        <v>76.2</v>
      </c>
      <c r="N6" s="75">
        <f>IF(F6="","",IF(H6="",1,INDEX(Adjustment!$A$1:$H$99,MATCH(H6,Adjustment!$B$1:$B$99,0),$C$1+3))*IF(I6="",1,INDEX(Adjustment!$A$1:$H$99,MATCH(I6,Adjustment!$B$1:$B$99,0),$C$1+3))*IF(J6="",1,INDEX(Adjustment!$A$1:$H$99,MATCH(J6,Adjustment!$B$1:$B$99,0),$C$1+3)))</f>
        <v>1.013</v>
      </c>
      <c r="O6" s="75">
        <f t="shared" si="2"/>
        <v>77.19059999999999</v>
      </c>
      <c r="P6" s="69">
        <v>0</v>
      </c>
      <c r="Q6" s="58">
        <v>28</v>
      </c>
      <c r="R6" s="58">
        <v>12</v>
      </c>
      <c r="S6" s="76">
        <f t="shared" si="3"/>
        <v>28.2</v>
      </c>
      <c r="T6" s="76">
        <f t="shared" si="4"/>
        <v>36.532945721370226</v>
      </c>
    </row>
    <row r="7" spans="1:20" ht="12.75">
      <c r="A7" s="72">
        <v>4</v>
      </c>
      <c r="B7" s="26">
        <v>5</v>
      </c>
      <c r="C7" s="36" t="s">
        <v>399</v>
      </c>
      <c r="D7" s="36"/>
      <c r="E7" s="37">
        <v>113</v>
      </c>
      <c r="F7" s="37" t="s">
        <v>164</v>
      </c>
      <c r="G7" s="38">
        <v>175</v>
      </c>
      <c r="J7" s="33">
        <f t="shared" si="0"/>
      </c>
      <c r="K7" s="33">
        <f>IF(F7="","",INDEX(Portsmouth!$A$1:J$999,MATCH(F7,Portsmouth!$B$1:$B$999,0),3))</f>
        <v>175</v>
      </c>
      <c r="L7" s="73">
        <f t="shared" si="1"/>
        <v>100</v>
      </c>
      <c r="M7" s="74">
        <f>IF(F7="","",INDEX(Portsmouth!$A$1:$J$999,MATCH(F7,Portsmouth!$B$1:$B$999,0),$C$1+5))</f>
        <v>68</v>
      </c>
      <c r="N7" s="75">
        <f>IF(F7="","",IF(H7="",1,INDEX(Adjustment!$A$1:$H$99,MATCH(H7,Adjustment!$B$1:$B$99,0),$C$1+3))*IF(I7="",1,INDEX(Adjustment!$A$1:$H$99,MATCH(I7,Adjustment!$B$1:$B$99,0),$C$1+3))*IF(J7="",1,INDEX(Adjustment!$A$1:$H$99,MATCH(J7,Adjustment!$B$1:$B$99,0),$C$1+3)))</f>
        <v>1</v>
      </c>
      <c r="O7" s="75">
        <f t="shared" si="2"/>
        <v>68</v>
      </c>
      <c r="P7" s="69">
        <v>0</v>
      </c>
      <c r="Q7" s="58">
        <v>25</v>
      </c>
      <c r="R7" s="58">
        <v>21</v>
      </c>
      <c r="S7" s="76">
        <f t="shared" si="3"/>
        <v>25.35</v>
      </c>
      <c r="T7" s="76">
        <f t="shared" si="4"/>
        <v>37.279411764705884</v>
      </c>
    </row>
    <row r="8" spans="1:20" ht="12.75">
      <c r="A8" s="71">
        <v>1</v>
      </c>
      <c r="B8" s="26">
        <v>6</v>
      </c>
      <c r="C8" s="47" t="s">
        <v>456</v>
      </c>
      <c r="D8" s="47"/>
      <c r="E8" s="48">
        <v>65915</v>
      </c>
      <c r="F8" s="37" t="s">
        <v>81</v>
      </c>
      <c r="G8" s="38">
        <v>220</v>
      </c>
      <c r="J8" s="33" t="str">
        <f t="shared" si="0"/>
        <v>L3</v>
      </c>
      <c r="K8" s="33">
        <f>IF(F8="","",INDEX(Portsmouth!$A$1:J$999,MATCH(F8,Portsmouth!$B$1:$B$999,0),3))</f>
        <v>285</v>
      </c>
      <c r="L8" s="73">
        <f t="shared" si="1"/>
        <v>77.19298245614036</v>
      </c>
      <c r="M8" s="74">
        <f>IF(F8="","",INDEX(Portsmouth!$A$1:$J$999,MATCH(F8,Portsmouth!$B$1:$B$999,0),$C$1+5))</f>
        <v>78.7</v>
      </c>
      <c r="N8" s="75">
        <f>IF(F8="","",IF(H8="",1,INDEX(Adjustment!$A$1:$H$99,MATCH(H8,Adjustment!$B$1:$B$99,0),$C$1+3))*IF(I8="",1,INDEX(Adjustment!$A$1:$H$99,MATCH(I8,Adjustment!$B$1:$B$99,0),$C$1+3))*IF(J8="",1,INDEX(Adjustment!$A$1:$H$99,MATCH(J8,Adjustment!$B$1:$B$99,0),$C$1+3)))</f>
        <v>0.974</v>
      </c>
      <c r="O8" s="75">
        <f t="shared" si="2"/>
        <v>76.6538</v>
      </c>
      <c r="P8" s="69">
        <v>0</v>
      </c>
      <c r="Q8" s="58">
        <v>29</v>
      </c>
      <c r="R8" s="58">
        <v>5</v>
      </c>
      <c r="S8" s="76">
        <f t="shared" si="3"/>
        <v>29.083333333333332</v>
      </c>
      <c r="T8" s="76">
        <f t="shared" si="4"/>
        <v>37.9411501234555</v>
      </c>
    </row>
    <row r="9" spans="1:20" ht="12.75">
      <c r="A9" s="72">
        <v>7</v>
      </c>
      <c r="B9" s="26">
        <v>7</v>
      </c>
      <c r="C9" s="36" t="s">
        <v>462</v>
      </c>
      <c r="D9" s="36" t="s">
        <v>401</v>
      </c>
      <c r="E9" s="37">
        <v>927</v>
      </c>
      <c r="F9" s="37" t="s">
        <v>170</v>
      </c>
      <c r="G9" s="38">
        <v>360</v>
      </c>
      <c r="J9" s="33" t="str">
        <f t="shared" si="0"/>
        <v>H1</v>
      </c>
      <c r="K9" s="33">
        <f>IF(F9="","",INDEX(Portsmouth!$A$1:J$999,MATCH(F9,Portsmouth!$B$1:$B$999,0),3))</f>
        <v>325</v>
      </c>
      <c r="L9" s="73">
        <f t="shared" si="1"/>
        <v>110.76923076923077</v>
      </c>
      <c r="M9" s="74">
        <f>IF(F9="","",INDEX(Portsmouth!$A$1:$J$999,MATCH(F9,Portsmouth!$B$1:$B$999,0),$C$1+5))</f>
        <v>60.2</v>
      </c>
      <c r="N9" s="75">
        <f>IF(F9="","",IF(H9="",1,INDEX(Adjustment!$A$1:$H$99,MATCH(H9,Adjustment!$B$1:$B$99,0),$C$1+3))*IF(I9="",1,INDEX(Adjustment!$A$1:$H$99,MATCH(I9,Adjustment!$B$1:$B$99,0),$C$1+3))*IF(J9="",1,INDEX(Adjustment!$A$1:$H$99,MATCH(J9,Adjustment!$B$1:$B$99,0),$C$1+3)))</f>
        <v>1.007</v>
      </c>
      <c r="O9" s="75">
        <f t="shared" si="2"/>
        <v>60.621399999999994</v>
      </c>
      <c r="P9" s="69">
        <v>0</v>
      </c>
      <c r="Q9" s="58">
        <v>24</v>
      </c>
      <c r="R9" s="58">
        <v>47</v>
      </c>
      <c r="S9" s="76">
        <f t="shared" si="3"/>
        <v>24.783333333333335</v>
      </c>
      <c r="T9" s="76">
        <f t="shared" si="4"/>
        <v>40.88215272714477</v>
      </c>
    </row>
    <row r="10" spans="1:20" ht="12.75">
      <c r="A10" s="72">
        <v>12</v>
      </c>
      <c r="B10" s="26">
        <v>8</v>
      </c>
      <c r="C10" s="36" t="s">
        <v>474</v>
      </c>
      <c r="D10" s="43"/>
      <c r="E10" s="44"/>
      <c r="F10" s="45" t="s">
        <v>470</v>
      </c>
      <c r="G10" s="46"/>
      <c r="J10" s="33">
        <f t="shared" si="0"/>
      </c>
      <c r="K10" s="33" t="str">
        <f>IF(F10="","",INDEX(Portsmouth!$A$1:J$999,MATCH(F10,Portsmouth!$B$1:$B$999,0),3))</f>
        <v>nl</v>
      </c>
      <c r="L10" s="73">
        <f t="shared" si="1"/>
        <v>100</v>
      </c>
      <c r="M10" s="74">
        <f>IF(F10="","",INDEX(Portsmouth!$A$1:$J$999,MATCH(F10,Portsmouth!$B$1:$B$999,0),$C$1+5))</f>
        <v>92.7</v>
      </c>
      <c r="N10" s="75">
        <f>IF(F10="","",IF(H10="",1,INDEX(Adjustment!$A$1:$H$99,MATCH(H10,Adjustment!$B$1:$B$99,0),$C$1+3))*IF(I10="",1,INDEX(Adjustment!$A$1:$H$99,MATCH(I10,Adjustment!$B$1:$B$99,0),$C$1+3))*IF(J10="",1,INDEX(Adjustment!$A$1:$H$99,MATCH(J10,Adjustment!$B$1:$B$99,0),$C$1+3)))</f>
        <v>1</v>
      </c>
      <c r="O10" s="75">
        <f t="shared" si="2"/>
        <v>92.7</v>
      </c>
      <c r="P10" s="69">
        <v>0</v>
      </c>
      <c r="Q10" s="58">
        <v>39</v>
      </c>
      <c r="R10" s="58">
        <v>49</v>
      </c>
      <c r="S10" s="76">
        <f t="shared" si="3"/>
        <v>39.81666666666667</v>
      </c>
      <c r="T10" s="76">
        <f t="shared" si="4"/>
        <v>42.95217547644732</v>
      </c>
    </row>
    <row r="11" spans="1:20" ht="12.75">
      <c r="A11" s="72">
        <v>6</v>
      </c>
      <c r="B11" s="26">
        <v>9</v>
      </c>
      <c r="C11" s="36" t="s">
        <v>453</v>
      </c>
      <c r="D11" s="36"/>
      <c r="E11" s="37">
        <v>127</v>
      </c>
      <c r="F11" s="37" t="s">
        <v>164</v>
      </c>
      <c r="G11" s="38">
        <v>166</v>
      </c>
      <c r="J11" s="33" t="str">
        <f t="shared" si="0"/>
        <v>L1</v>
      </c>
      <c r="K11" s="33">
        <f>IF(F11="","",INDEX(Portsmouth!$A$1:J$999,MATCH(F11,Portsmouth!$B$1:$B$999,0),3))</f>
        <v>175</v>
      </c>
      <c r="L11" s="73">
        <f t="shared" si="1"/>
        <v>94.85714285714286</v>
      </c>
      <c r="M11" s="74">
        <f>IF(F11="","",INDEX(Portsmouth!$A$1:$J$999,MATCH(F11,Portsmouth!$B$1:$B$999,0),$C$1+5))</f>
        <v>68</v>
      </c>
      <c r="N11" s="75">
        <f>IF(F11="","",IF(H11="",1,INDEX(Adjustment!$A$1:$H$99,MATCH(H11,Adjustment!$B$1:$B$99,0),$C$1+3))*IF(I11="",1,INDEX(Adjustment!$A$1:$H$99,MATCH(I11,Adjustment!$B$1:$B$99,0),$C$1+3))*IF(J11="",1,INDEX(Adjustment!$A$1:$H$99,MATCH(J11,Adjustment!$B$1:$B$99,0),$C$1+3)))</f>
        <v>0.991</v>
      </c>
      <c r="O11" s="75">
        <f t="shared" si="2"/>
        <v>67.388</v>
      </c>
      <c r="P11" s="69">
        <v>0</v>
      </c>
      <c r="Q11" s="58">
        <v>29</v>
      </c>
      <c r="R11" s="58">
        <v>8</v>
      </c>
      <c r="S11" s="76">
        <f t="shared" si="3"/>
        <v>29.133333333333333</v>
      </c>
      <c r="T11" s="76">
        <f t="shared" si="4"/>
        <v>43.23222730060743</v>
      </c>
    </row>
    <row r="12" spans="1:20" ht="12.75">
      <c r="A12" s="72">
        <v>3</v>
      </c>
      <c r="B12" s="26">
        <v>10</v>
      </c>
      <c r="C12" s="43" t="s">
        <v>397</v>
      </c>
      <c r="D12" s="43"/>
      <c r="E12" s="44"/>
      <c r="F12" s="45" t="s">
        <v>470</v>
      </c>
      <c r="G12" s="46"/>
      <c r="J12" s="33">
        <f t="shared" si="0"/>
      </c>
      <c r="K12" s="33" t="str">
        <f>IF(F12="","",INDEX(Portsmouth!$A$1:J$999,MATCH(F12,Portsmouth!$B$1:$B$999,0),3))</f>
        <v>nl</v>
      </c>
      <c r="L12" s="73">
        <f t="shared" si="1"/>
        <v>100</v>
      </c>
      <c r="M12" s="74">
        <f>IF(F12="","",INDEX(Portsmouth!$A$1:$J$999,MATCH(F12,Portsmouth!$B$1:$B$999,0),$C$1+5))</f>
        <v>92.7</v>
      </c>
      <c r="N12" s="75">
        <f>IF(F12="","",IF(H12="",1,INDEX(Adjustment!$A$1:$H$99,MATCH(H12,Adjustment!$B$1:$B$99,0),$C$1+3))*IF(I12="",1,INDEX(Adjustment!$A$1:$H$99,MATCH(I12,Adjustment!$B$1:$B$99,0),$C$1+3))*IF(J12="",1,INDEX(Adjustment!$A$1:$H$99,MATCH(J12,Adjustment!$B$1:$B$99,0),$C$1+3)))</f>
        <v>1</v>
      </c>
      <c r="O12" s="75">
        <f t="shared" si="2"/>
        <v>92.7</v>
      </c>
      <c r="P12" s="69">
        <v>0</v>
      </c>
      <c r="Q12" s="58">
        <v>42</v>
      </c>
      <c r="R12" s="58">
        <v>47</v>
      </c>
      <c r="S12" s="76">
        <f t="shared" si="3"/>
        <v>42.78333333333333</v>
      </c>
      <c r="T12" s="76">
        <f t="shared" si="4"/>
        <v>46.1524631427544</v>
      </c>
    </row>
    <row r="13" spans="1:20" ht="12.75">
      <c r="A13" s="72">
        <v>8</v>
      </c>
      <c r="B13" s="26">
        <v>13</v>
      </c>
      <c r="C13" s="33" t="s">
        <v>471</v>
      </c>
      <c r="D13" s="33" t="s">
        <v>472</v>
      </c>
      <c r="E13" s="50">
        <v>348</v>
      </c>
      <c r="F13" s="33" t="s">
        <v>35</v>
      </c>
      <c r="G13" s="33">
        <v>348</v>
      </c>
      <c r="H13" s="33" t="s">
        <v>445</v>
      </c>
      <c r="K13" s="33">
        <f>IF(F13="","",INDEX(Portsmouth!$A$1:J$999,MATCH(F13,Portsmouth!$B$1:$B$999,0),3))</f>
        <v>330</v>
      </c>
      <c r="L13" s="73">
        <f t="shared" si="1"/>
        <v>105.45454545454545</v>
      </c>
      <c r="M13" s="74">
        <f>IF(F13="","",INDEX(Portsmouth!$A$1:$J$999,MATCH(F13,Portsmouth!$B$1:$B$999,0),$C$1+5))</f>
        <v>63.9</v>
      </c>
      <c r="N13" s="75">
        <f>IF(F13="","",IF(H13="",1,INDEX(Adjustment!$A$1:$H$99,MATCH(H13,Adjustment!$B$1:$B$99,0),$C$1+3))*IF(I13="",1,INDEX(Adjustment!$A$1:$H$99,MATCH(I13,Adjustment!$B$1:$B$99,0),$C$1+3))*IF(J13="",1,INDEX(Adjustment!$A$1:$H$99,MATCH(J13,Adjustment!$B$1:$B$99,0),$C$1+3)))</f>
        <v>1.025</v>
      </c>
      <c r="O13" s="75">
        <f t="shared" si="2"/>
        <v>65.49749999999999</v>
      </c>
      <c r="P13" s="69">
        <v>0</v>
      </c>
      <c r="Q13" s="58" t="s">
        <v>476</v>
      </c>
      <c r="S13" s="76">
        <f t="shared" si="3"/>
      </c>
      <c r="T13" s="76">
        <f t="shared" si="4"/>
      </c>
    </row>
    <row r="14" spans="1:20" ht="12.75">
      <c r="A14" s="71">
        <v>10</v>
      </c>
      <c r="B14" s="26">
        <v>13</v>
      </c>
      <c r="C14" s="36" t="s">
        <v>473</v>
      </c>
      <c r="D14" s="36" t="s">
        <v>461</v>
      </c>
      <c r="E14" s="37" t="s">
        <v>477</v>
      </c>
      <c r="F14" s="37" t="s">
        <v>81</v>
      </c>
      <c r="G14" s="38">
        <v>385</v>
      </c>
      <c r="J14" s="33" t="str">
        <f t="shared" si="0"/>
        <v>H3</v>
      </c>
      <c r="K14" s="33">
        <f>IF(F14="","",INDEX(Portsmouth!$A$1:J$999,MATCH(F14,Portsmouth!$B$1:$B$999,0),3))</f>
        <v>285</v>
      </c>
      <c r="L14" s="73">
        <f t="shared" si="1"/>
        <v>135.08771929824562</v>
      </c>
      <c r="M14" s="74">
        <f>IF(F14="","",INDEX(Portsmouth!$A$1:$J$999,MATCH(F14,Portsmouth!$B$1:$B$999,0),$C$1+5))</f>
        <v>78.7</v>
      </c>
      <c r="N14" s="75">
        <f>IF(F14="","",IF(H14="",1,INDEX(Adjustment!$A$1:$H$99,MATCH(H14,Adjustment!$B$1:$B$99,0),$C$1+3))*IF(I14="",1,INDEX(Adjustment!$A$1:$H$99,MATCH(I14,Adjustment!$B$1:$B$99,0),$C$1+3))*IF(J14="",1,INDEX(Adjustment!$A$1:$H$99,MATCH(J14,Adjustment!$B$1:$B$99,0),$C$1+3)))</f>
        <v>1.02</v>
      </c>
      <c r="O14" s="75">
        <f t="shared" si="2"/>
        <v>80.274</v>
      </c>
      <c r="P14" s="69">
        <v>0</v>
      </c>
      <c r="Q14" s="58" t="s">
        <v>476</v>
      </c>
      <c r="S14" s="76">
        <f t="shared" si="3"/>
      </c>
      <c r="T14" s="76">
        <f t="shared" si="4"/>
      </c>
    </row>
    <row r="15" spans="1:7" ht="12.75">
      <c r="A15" s="71"/>
      <c r="B15" s="42"/>
      <c r="C15" s="36"/>
      <c r="D15" s="36"/>
      <c r="E15" s="37"/>
      <c r="F15" s="37"/>
      <c r="G15" s="38"/>
    </row>
    <row r="16" spans="1:7" ht="12.75">
      <c r="A16" s="71"/>
      <c r="B16" s="42"/>
      <c r="C16" s="36"/>
      <c r="D16" s="36"/>
      <c r="E16" s="37"/>
      <c r="F16" s="37"/>
      <c r="G16" s="38"/>
    </row>
    <row r="17" spans="2:7" ht="12.75">
      <c r="B17" s="42"/>
      <c r="C17" s="36"/>
      <c r="D17" s="36"/>
      <c r="E17" s="37"/>
      <c r="F17" s="37"/>
      <c r="G17" s="38"/>
    </row>
    <row r="18" spans="1:7" ht="12.75">
      <c r="A18" s="71"/>
      <c r="B18" s="42"/>
      <c r="C18" s="36"/>
      <c r="D18" s="36"/>
      <c r="E18" s="37"/>
      <c r="F18" s="37"/>
      <c r="G18" s="38"/>
    </row>
    <row r="19" spans="2:7" ht="12.75">
      <c r="B19" s="42"/>
      <c r="C19" s="36"/>
      <c r="D19" s="36"/>
      <c r="E19" s="37"/>
      <c r="F19" s="37"/>
      <c r="G19" s="38"/>
    </row>
    <row r="20" spans="1:7" ht="12.75">
      <c r="A20" s="71"/>
      <c r="B20" s="42"/>
      <c r="C20" s="36"/>
      <c r="D20" s="36"/>
      <c r="E20" s="37"/>
      <c r="F20" s="37"/>
      <c r="G20" s="38"/>
    </row>
    <row r="21" spans="1:7" ht="12.75">
      <c r="A21" s="71"/>
      <c r="B21" s="42"/>
      <c r="C21" s="36"/>
      <c r="D21" s="36"/>
      <c r="E21" s="37"/>
      <c r="F21" s="37"/>
      <c r="G21" s="38"/>
    </row>
    <row r="22" spans="1:7" ht="12.75">
      <c r="A22" s="71"/>
      <c r="B22" s="42"/>
      <c r="C22" s="36"/>
      <c r="D22" s="47"/>
      <c r="E22" s="37"/>
      <c r="F22" s="37"/>
      <c r="G22" s="38"/>
    </row>
    <row r="23" spans="1:7" ht="12.75">
      <c r="A23" s="71"/>
      <c r="B23" s="42"/>
      <c r="C23" s="36"/>
      <c r="D23" s="36"/>
      <c r="E23" s="37"/>
      <c r="F23" s="37"/>
      <c r="G23" s="38"/>
    </row>
    <row r="24" spans="1:7" ht="12.75">
      <c r="A24" s="71"/>
      <c r="B24" s="42"/>
      <c r="C24" s="49"/>
      <c r="D24" s="49"/>
      <c r="E24" s="48"/>
      <c r="F24" s="49"/>
      <c r="G24" s="49"/>
    </row>
    <row r="25" spans="1:7" ht="12.75">
      <c r="A25" s="71"/>
      <c r="B25" s="42"/>
      <c r="C25" s="36"/>
      <c r="D25" s="36"/>
      <c r="E25" s="37"/>
      <c r="F25" s="37"/>
      <c r="G25" s="38"/>
    </row>
    <row r="26" spans="1:5" ht="12.75">
      <c r="A26" s="71"/>
      <c r="B26" s="42"/>
      <c r="E26" s="50"/>
    </row>
    <row r="27" spans="1:7" ht="12.75">
      <c r="A27" s="71"/>
      <c r="B27" s="42"/>
      <c r="C27" s="36"/>
      <c r="D27" s="36"/>
      <c r="E27" s="37"/>
      <c r="F27" s="37"/>
      <c r="G27" s="38"/>
    </row>
    <row r="28" spans="2:7" ht="12.75">
      <c r="B28" s="42"/>
      <c r="C28" s="36"/>
      <c r="D28" s="36"/>
      <c r="E28" s="37"/>
      <c r="F28" s="37"/>
      <c r="G28" s="38"/>
    </row>
    <row r="29" spans="3:7" ht="12.75">
      <c r="C29" s="36"/>
      <c r="D29" s="36"/>
      <c r="E29" s="37"/>
      <c r="F29" s="37"/>
      <c r="G29" s="38"/>
    </row>
    <row r="30" spans="3:7" ht="12.75">
      <c r="C30" s="36"/>
      <c r="D30" s="36"/>
      <c r="E30" s="37"/>
      <c r="F30" s="37"/>
      <c r="G30" s="38"/>
    </row>
    <row r="31" spans="2:7" ht="12.75">
      <c r="B31" s="42"/>
      <c r="C31" s="43"/>
      <c r="D31" s="43"/>
      <c r="E31" s="48"/>
      <c r="F31" s="45"/>
      <c r="G31" s="46"/>
    </row>
    <row r="32" spans="3:7" ht="12.75">
      <c r="C32" s="36"/>
      <c r="D32" s="36"/>
      <c r="E32" s="37"/>
      <c r="F32" s="37"/>
      <c r="G32" s="38"/>
    </row>
    <row r="33" spans="3:7" ht="12.75">
      <c r="C33" s="36"/>
      <c r="D33" s="36"/>
      <c r="E33" s="37"/>
      <c r="F33" s="37"/>
      <c r="G33" s="38"/>
    </row>
    <row r="34" spans="2:7" ht="12.75">
      <c r="B34" s="42"/>
      <c r="C34" s="36"/>
      <c r="D34" s="36"/>
      <c r="E34" s="37"/>
      <c r="F34" s="37"/>
      <c r="G34" s="38"/>
    </row>
    <row r="35" spans="2:7" ht="12.75">
      <c r="B35" s="42"/>
      <c r="C35" s="36"/>
      <c r="D35" s="36"/>
      <c r="E35" s="37"/>
      <c r="F35" s="37"/>
      <c r="G35" s="38"/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B3" sqref="B3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62" bestFit="1" customWidth="1"/>
    <col min="10" max="10" width="3.8515625" style="62" bestFit="1" customWidth="1"/>
    <col min="11" max="11" width="4.00390625" style="62" bestFit="1" customWidth="1"/>
  </cols>
  <sheetData>
    <row r="1" spans="2:11" ht="12.75">
      <c r="B1" s="67" t="s">
        <v>463</v>
      </c>
      <c r="C1" s="66" t="s">
        <v>468</v>
      </c>
      <c r="D1" t="s">
        <v>335</v>
      </c>
      <c r="E1" t="s">
        <v>464</v>
      </c>
      <c r="F1" t="s">
        <v>465</v>
      </c>
      <c r="G1" t="s">
        <v>466</v>
      </c>
      <c r="H1" t="s">
        <v>467</v>
      </c>
      <c r="I1" s="68" t="s">
        <v>333</v>
      </c>
      <c r="J1" s="57" t="s">
        <v>320</v>
      </c>
      <c r="K1" s="57" t="s">
        <v>334</v>
      </c>
    </row>
    <row r="2" spans="1:11" ht="12.75">
      <c r="A2" s="26">
        <v>1</v>
      </c>
      <c r="B2" s="63">
        <v>0.4996527777777778</v>
      </c>
      <c r="C2" s="63">
        <v>0.6403125</v>
      </c>
      <c r="D2" s="63">
        <f>C2-B2</f>
        <v>0.14065972222222217</v>
      </c>
      <c r="E2" s="64">
        <f>D2</f>
        <v>0.14065972222222217</v>
      </c>
      <c r="F2">
        <f>I2/24</f>
        <v>0.125</v>
      </c>
      <c r="G2">
        <f>J2/60/24</f>
        <v>0.015277777777777777</v>
      </c>
      <c r="H2" s="64">
        <f>E2-F2-G2</f>
        <v>0.00038194444444439486</v>
      </c>
      <c r="I2" s="65">
        <f>ROUNDDOWN($D2*24,0)</f>
        <v>3</v>
      </c>
      <c r="J2" s="65">
        <f>ROUNDDOWN(($D2*24-I2)*60,0)</f>
        <v>22</v>
      </c>
      <c r="K2" s="65">
        <f>H2*60*60*24</f>
        <v>32.999999999995715</v>
      </c>
    </row>
    <row r="3" spans="1:8" ht="12.75">
      <c r="A3" s="26">
        <v>2</v>
      </c>
      <c r="E3" s="64"/>
      <c r="F3" s="64"/>
      <c r="G3" s="64"/>
      <c r="H3" s="64"/>
    </row>
    <row r="4" ht="12.75">
      <c r="A4" s="26">
        <v>3</v>
      </c>
    </row>
    <row r="5" ht="12.75">
      <c r="A5" s="26">
        <v>4</v>
      </c>
    </row>
    <row r="6" ht="12.75">
      <c r="A6" s="26">
        <v>5</v>
      </c>
    </row>
    <row r="7" ht="12.75">
      <c r="A7" s="26">
        <v>6</v>
      </c>
    </row>
    <row r="8" ht="12.75">
      <c r="A8" s="26">
        <v>7</v>
      </c>
    </row>
    <row r="9" ht="12.75">
      <c r="A9" s="26">
        <v>8</v>
      </c>
    </row>
    <row r="10" ht="12.75">
      <c r="A10" s="26">
        <v>9</v>
      </c>
    </row>
    <row r="11" ht="12.75">
      <c r="A11" s="26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35"/>
  <sheetViews>
    <sheetView workbookViewId="0" topLeftCell="A1">
      <pane ySplit="2" topLeftCell="BM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7.28125" style="72" bestFit="1" customWidth="1"/>
    <col min="2" max="2" width="5.421875" style="33" bestFit="1" customWidth="1"/>
    <col min="3" max="3" width="15.140625" style="33" bestFit="1" customWidth="1"/>
    <col min="4" max="4" width="16.00390625" style="33" bestFit="1" customWidth="1"/>
    <col min="5" max="5" width="6.7109375" style="33" bestFit="1" customWidth="1"/>
    <col min="6" max="6" width="6.140625" style="33" bestFit="1" customWidth="1"/>
    <col min="7" max="7" width="4.00390625" style="33" bestFit="1" customWidth="1"/>
    <col min="8" max="8" width="3.57421875" style="33" bestFit="1" customWidth="1"/>
    <col min="9" max="9" width="3.28125" style="33" bestFit="1" customWidth="1"/>
    <col min="10" max="10" width="3.7109375" style="33" bestFit="1" customWidth="1"/>
    <col min="11" max="11" width="3.8515625" style="33" bestFit="1" customWidth="1"/>
    <col min="12" max="12" width="7.7109375" style="73" bestFit="1" customWidth="1"/>
    <col min="13" max="13" width="7.7109375" style="74" bestFit="1" customWidth="1"/>
    <col min="14" max="14" width="6.7109375" style="75" bestFit="1" customWidth="1"/>
    <col min="15" max="15" width="7.7109375" style="75" bestFit="1" customWidth="1"/>
    <col min="16" max="16" width="3.7109375" style="69" bestFit="1" customWidth="1"/>
    <col min="17" max="17" width="3.8515625" style="58" bestFit="1" customWidth="1"/>
    <col min="18" max="18" width="4.00390625" style="58" bestFit="1" customWidth="1"/>
    <col min="19" max="19" width="7.7109375" style="76" bestFit="1" customWidth="1"/>
    <col min="20" max="20" width="9.28125" style="76" bestFit="1" customWidth="1"/>
    <col min="21" max="16384" width="8.7109375" style="33" customWidth="1"/>
  </cols>
  <sheetData>
    <row r="1" spans="1:20" ht="12.75">
      <c r="A1" s="70" t="s">
        <v>447</v>
      </c>
      <c r="B1" s="27"/>
      <c r="C1" s="55">
        <v>3</v>
      </c>
      <c r="D1" s="56" t="s">
        <v>446</v>
      </c>
      <c r="E1" s="28"/>
      <c r="F1" s="29"/>
      <c r="G1" s="29"/>
      <c r="H1" s="77" t="s">
        <v>319</v>
      </c>
      <c r="I1" s="77"/>
      <c r="J1" s="77"/>
      <c r="K1" s="31" t="s">
        <v>320</v>
      </c>
      <c r="L1" s="31" t="s">
        <v>394</v>
      </c>
      <c r="M1" s="79" t="s">
        <v>450</v>
      </c>
      <c r="N1" s="80"/>
      <c r="O1" s="54">
        <v>6</v>
      </c>
      <c r="P1" s="78" t="s">
        <v>448</v>
      </c>
      <c r="Q1" s="78"/>
      <c r="R1" s="78"/>
      <c r="S1" s="78"/>
      <c r="T1" s="78"/>
    </row>
    <row r="2" spans="1:20" ht="12.75">
      <c r="A2" s="70" t="s">
        <v>321</v>
      </c>
      <c r="B2" s="28" t="s">
        <v>409</v>
      </c>
      <c r="C2" s="28" t="s">
        <v>322</v>
      </c>
      <c r="D2" s="28" t="s">
        <v>323</v>
      </c>
      <c r="E2" s="28" t="s">
        <v>324</v>
      </c>
      <c r="F2" s="31" t="s">
        <v>5</v>
      </c>
      <c r="G2" s="31" t="s">
        <v>325</v>
      </c>
      <c r="H2" s="30" t="s">
        <v>326</v>
      </c>
      <c r="I2" s="30" t="s">
        <v>327</v>
      </c>
      <c r="J2" s="30" t="s">
        <v>328</v>
      </c>
      <c r="K2" s="30" t="s">
        <v>328</v>
      </c>
      <c r="L2" s="34" t="s">
        <v>329</v>
      </c>
      <c r="M2" s="35" t="s">
        <v>330</v>
      </c>
      <c r="N2" s="32" t="s">
        <v>331</v>
      </c>
      <c r="O2" s="32" t="s">
        <v>332</v>
      </c>
      <c r="P2" s="68" t="s">
        <v>333</v>
      </c>
      <c r="Q2" s="57" t="s">
        <v>320</v>
      </c>
      <c r="R2" s="57" t="s">
        <v>334</v>
      </c>
      <c r="S2" s="52" t="s">
        <v>335</v>
      </c>
      <c r="T2" s="52" t="s">
        <v>336</v>
      </c>
    </row>
    <row r="3" spans="1:20" ht="12.75">
      <c r="A3" s="72">
        <v>2</v>
      </c>
      <c r="B3" s="26">
        <v>1</v>
      </c>
      <c r="C3" s="36" t="s">
        <v>400</v>
      </c>
      <c r="D3" s="36"/>
      <c r="E3" s="37">
        <v>723</v>
      </c>
      <c r="F3" s="37" t="s">
        <v>164</v>
      </c>
      <c r="G3" s="38">
        <v>175</v>
      </c>
      <c r="J3" s="33">
        <f aca="true" t="shared" si="0" ref="J3:J14">IF(OR(F3="",K3="nl"),"",IF(L3&lt;70,"L4",IF(L3&lt;80,"L3",IF(L3&lt;90,"L2",IF(L3&lt;100,"L1",IF(L3&gt;130,"H3",IF(L3&gt;120,"H2",IF(L3&gt;110,"H1",""))))))))</f>
      </c>
      <c r="K3" s="33">
        <f>IF(F3="","",INDEX(Portsmouth!$A$1:J$999,MATCH(F3,Portsmouth!$B$1:$B$999,0),3))</f>
        <v>175</v>
      </c>
      <c r="L3" s="73">
        <f aca="true" t="shared" si="1" ref="L3:L14">IF(F3="","",IF(K3="nl",100,100*G3/K3))</f>
        <v>100</v>
      </c>
      <c r="M3" s="74">
        <f>IF(F3="","",INDEX(Portsmouth!$A$1:$J$999,MATCH(F3,Portsmouth!$B$1:$B$999,0),$C$1+5))</f>
        <v>68</v>
      </c>
      <c r="N3" s="75">
        <f>IF(F3="","",IF(H3="",1,INDEX(Adjustment!$A$1:$H$99,MATCH(H3,Adjustment!$B$1:$B$99,0),$C$1+3))*IF(I3="",1,INDEX(Adjustment!$A$1:$H$99,MATCH(I3,Adjustment!$B$1:$B$99,0),$C$1+3))*IF(J3="",1,INDEX(Adjustment!$A$1:$H$99,MATCH(J3,Adjustment!$B$1:$B$99,0),$C$1+3)))</f>
        <v>1</v>
      </c>
      <c r="O3" s="75">
        <f aca="true" t="shared" si="2" ref="O3:O14">IF(F3="","",M3*N3)</f>
        <v>68</v>
      </c>
      <c r="P3" s="69">
        <v>0</v>
      </c>
      <c r="Q3" s="58">
        <v>23</v>
      </c>
      <c r="R3" s="58">
        <v>57</v>
      </c>
      <c r="S3" s="76">
        <f aca="true" t="shared" si="3" ref="S3:S14">IF(R3="","",IF(TYPE(R3)=2,R3,(P3*60+Q3+(R3/60))))</f>
        <v>23.95</v>
      </c>
      <c r="T3" s="76">
        <f aca="true" t="shared" si="4" ref="T3:T14">IF(S3="","",IF(TYPE(R3)=2,S3,S3/(O3*0.01)))</f>
        <v>35.220588235294116</v>
      </c>
    </row>
    <row r="4" spans="1:20" ht="12.75">
      <c r="A4" s="71">
        <v>11</v>
      </c>
      <c r="B4" s="26">
        <v>2</v>
      </c>
      <c r="C4" s="36" t="s">
        <v>459</v>
      </c>
      <c r="D4" s="36" t="s">
        <v>460</v>
      </c>
      <c r="E4" s="37">
        <v>2492</v>
      </c>
      <c r="F4" s="37" t="s">
        <v>35</v>
      </c>
      <c r="G4" s="38">
        <v>360</v>
      </c>
      <c r="J4" s="33">
        <f t="shared" si="0"/>
      </c>
      <c r="K4" s="33">
        <f>IF(F4="","",INDEX(Portsmouth!$A$1:J$999,MATCH(F4,Portsmouth!$B$1:$B$999,0),3))</f>
        <v>330</v>
      </c>
      <c r="L4" s="73">
        <f t="shared" si="1"/>
        <v>109.0909090909091</v>
      </c>
      <c r="M4" s="74">
        <f>IF(F4="","",INDEX(Portsmouth!$A$1:$J$999,MATCH(F4,Portsmouth!$B$1:$B$999,0),$C$1+5))</f>
        <v>63.9</v>
      </c>
      <c r="N4" s="75">
        <f>IF(F4="","",IF(H4="",1,INDEX(Adjustment!$A$1:$H$99,MATCH(H4,Adjustment!$B$1:$B$99,0),$C$1+3))*IF(I4="",1,INDEX(Adjustment!$A$1:$H$99,MATCH(I4,Adjustment!$B$1:$B$99,0),$C$1+3))*IF(J4="",1,INDEX(Adjustment!$A$1:$H$99,MATCH(J4,Adjustment!$B$1:$B$99,0),$C$1+3)))</f>
        <v>1</v>
      </c>
      <c r="O4" s="75">
        <f t="shared" si="2"/>
        <v>63.9</v>
      </c>
      <c r="P4" s="69">
        <v>0</v>
      </c>
      <c r="Q4" s="58">
        <v>22</v>
      </c>
      <c r="R4" s="58">
        <v>40</v>
      </c>
      <c r="S4" s="76">
        <f t="shared" si="3"/>
        <v>22.666666666666668</v>
      </c>
      <c r="T4" s="76">
        <f t="shared" si="4"/>
        <v>35.47209181011998</v>
      </c>
    </row>
    <row r="5" spans="1:20" ht="12.75">
      <c r="A5" s="71">
        <v>9</v>
      </c>
      <c r="B5" s="26">
        <v>3</v>
      </c>
      <c r="C5" s="33" t="s">
        <v>458</v>
      </c>
      <c r="D5" s="36" t="s">
        <v>457</v>
      </c>
      <c r="E5" s="37">
        <v>1001</v>
      </c>
      <c r="F5" s="37" t="s">
        <v>170</v>
      </c>
      <c r="G5" s="38">
        <v>420</v>
      </c>
      <c r="J5" s="33" t="str">
        <f t="shared" si="0"/>
        <v>H2</v>
      </c>
      <c r="K5" s="33">
        <f>IF(F5="","",INDEX(Portsmouth!$A$1:J$999,MATCH(F5,Portsmouth!$B$1:$B$999,0),3))</f>
        <v>325</v>
      </c>
      <c r="L5" s="73">
        <f t="shared" si="1"/>
        <v>129.23076923076923</v>
      </c>
      <c r="M5" s="74">
        <f>IF(F5="","",INDEX(Portsmouth!$A$1:$J$999,MATCH(F5,Portsmouth!$B$1:$B$999,0),$C$1+5))</f>
        <v>60.2</v>
      </c>
      <c r="N5" s="75">
        <f>IF(F5="","",IF(H5="",1,INDEX(Adjustment!$A$1:$H$99,MATCH(H5,Adjustment!$B$1:$B$99,0),$C$1+3))*IF(I5="",1,INDEX(Adjustment!$A$1:$H$99,MATCH(I5,Adjustment!$B$1:$B$99,0),$C$1+3))*IF(J5="",1,INDEX(Adjustment!$A$1:$H$99,MATCH(J5,Adjustment!$B$1:$B$99,0),$C$1+3)))</f>
        <v>1.013</v>
      </c>
      <c r="O5" s="75">
        <f t="shared" si="2"/>
        <v>60.9826</v>
      </c>
      <c r="P5" s="69">
        <v>0</v>
      </c>
      <c r="Q5" s="58">
        <v>23</v>
      </c>
      <c r="R5" s="58">
        <v>1</v>
      </c>
      <c r="S5" s="76">
        <f t="shared" si="3"/>
        <v>23.016666666666666</v>
      </c>
      <c r="T5" s="76">
        <f t="shared" si="4"/>
        <v>37.743006475071034</v>
      </c>
    </row>
    <row r="6" spans="1:20" ht="12.75">
      <c r="A6" s="71">
        <v>1</v>
      </c>
      <c r="B6" s="26">
        <v>4</v>
      </c>
      <c r="C6" s="47" t="s">
        <v>456</v>
      </c>
      <c r="D6" s="47"/>
      <c r="E6" s="48">
        <v>65915</v>
      </c>
      <c r="F6" s="37" t="s">
        <v>81</v>
      </c>
      <c r="G6" s="38">
        <v>220</v>
      </c>
      <c r="J6" s="33" t="str">
        <f t="shared" si="0"/>
        <v>L3</v>
      </c>
      <c r="K6" s="33">
        <f>IF(F6="","",INDEX(Portsmouth!$A$1:J$999,MATCH(F6,Portsmouth!$B$1:$B$999,0),3))</f>
        <v>285</v>
      </c>
      <c r="L6" s="73">
        <f t="shared" si="1"/>
        <v>77.19298245614036</v>
      </c>
      <c r="M6" s="74">
        <f>IF(F6="","",INDEX(Portsmouth!$A$1:$J$999,MATCH(F6,Portsmouth!$B$1:$B$999,0),$C$1+5))</f>
        <v>78.7</v>
      </c>
      <c r="N6" s="75">
        <f>IF(F6="","",IF(H6="",1,INDEX(Adjustment!$A$1:$H$99,MATCH(H6,Adjustment!$B$1:$B$99,0),$C$1+3))*IF(I6="",1,INDEX(Adjustment!$A$1:$H$99,MATCH(I6,Adjustment!$B$1:$B$99,0),$C$1+3))*IF(J6="",1,INDEX(Adjustment!$A$1:$H$99,MATCH(J6,Adjustment!$B$1:$B$99,0),$C$1+3)))</f>
        <v>0.974</v>
      </c>
      <c r="O6" s="75">
        <f t="shared" si="2"/>
        <v>76.6538</v>
      </c>
      <c r="P6" s="69">
        <v>0</v>
      </c>
      <c r="Q6" s="58">
        <v>28</v>
      </c>
      <c r="R6" s="58">
        <v>59</v>
      </c>
      <c r="S6" s="76">
        <f t="shared" si="3"/>
        <v>28.983333333333334</v>
      </c>
      <c r="T6" s="76">
        <f t="shared" si="4"/>
        <v>37.81069344681325</v>
      </c>
    </row>
    <row r="7" spans="1:20" ht="12.75">
      <c r="A7" s="72">
        <v>5</v>
      </c>
      <c r="B7" s="26">
        <v>5</v>
      </c>
      <c r="C7" s="36" t="s">
        <v>398</v>
      </c>
      <c r="D7" s="36"/>
      <c r="E7" s="37">
        <v>6661</v>
      </c>
      <c r="F7" s="37" t="s">
        <v>83</v>
      </c>
      <c r="G7" s="38">
        <v>200</v>
      </c>
      <c r="J7" s="33" t="str">
        <f t="shared" si="0"/>
        <v>H2</v>
      </c>
      <c r="K7" s="33">
        <f>IF(F7="","",INDEX(Portsmouth!$A$1:J$999,MATCH(F7,Portsmouth!$B$1:$B$999,0),3))</f>
        <v>160</v>
      </c>
      <c r="L7" s="73">
        <f t="shared" si="1"/>
        <v>125</v>
      </c>
      <c r="M7" s="74">
        <f>IF(F7="","",INDEX(Portsmouth!$A$1:$J$999,MATCH(F7,Portsmouth!$B$1:$B$999,0),$C$1+5))</f>
        <v>76.2</v>
      </c>
      <c r="N7" s="75">
        <f>IF(F7="","",IF(H7="",1,INDEX(Adjustment!$A$1:$H$99,MATCH(H7,Adjustment!$B$1:$B$99,0),$C$1+3))*IF(I7="",1,INDEX(Adjustment!$A$1:$H$99,MATCH(I7,Adjustment!$B$1:$B$99,0),$C$1+3))*IF(J7="",1,INDEX(Adjustment!$A$1:$H$99,MATCH(J7,Adjustment!$B$1:$B$99,0),$C$1+3)))</f>
        <v>1.013</v>
      </c>
      <c r="O7" s="75">
        <f t="shared" si="2"/>
        <v>77.19059999999999</v>
      </c>
      <c r="P7" s="69">
        <v>0</v>
      </c>
      <c r="Q7" s="58">
        <v>30</v>
      </c>
      <c r="R7" s="58">
        <v>1</v>
      </c>
      <c r="S7" s="76">
        <f t="shared" si="3"/>
        <v>30.016666666666666</v>
      </c>
      <c r="T7" s="76">
        <f t="shared" si="4"/>
        <v>38.88642744928355</v>
      </c>
    </row>
    <row r="8" spans="1:20" ht="12.75">
      <c r="A8" s="72">
        <v>7</v>
      </c>
      <c r="B8" s="26">
        <v>6</v>
      </c>
      <c r="C8" s="36" t="s">
        <v>462</v>
      </c>
      <c r="D8" s="36" t="s">
        <v>401</v>
      </c>
      <c r="E8" s="37">
        <v>927</v>
      </c>
      <c r="F8" s="37" t="s">
        <v>170</v>
      </c>
      <c r="G8" s="38">
        <v>360</v>
      </c>
      <c r="J8" s="33" t="str">
        <f t="shared" si="0"/>
        <v>H1</v>
      </c>
      <c r="K8" s="33">
        <f>IF(F8="","",INDEX(Portsmouth!$A$1:J$999,MATCH(F8,Portsmouth!$B$1:$B$999,0),3))</f>
        <v>325</v>
      </c>
      <c r="L8" s="73">
        <f t="shared" si="1"/>
        <v>110.76923076923077</v>
      </c>
      <c r="M8" s="74">
        <f>IF(F8="","",INDEX(Portsmouth!$A$1:$J$999,MATCH(F8,Portsmouth!$B$1:$B$999,0),$C$1+5))</f>
        <v>60.2</v>
      </c>
      <c r="N8" s="75">
        <f>IF(F8="","",IF(H8="",1,INDEX(Adjustment!$A$1:$H$99,MATCH(H8,Adjustment!$B$1:$B$99,0),$C$1+3))*IF(I8="",1,INDEX(Adjustment!$A$1:$H$99,MATCH(I8,Adjustment!$B$1:$B$99,0),$C$1+3))*IF(J8="",1,INDEX(Adjustment!$A$1:$H$99,MATCH(J8,Adjustment!$B$1:$B$99,0),$C$1+3)))</f>
        <v>1.007</v>
      </c>
      <c r="O8" s="75">
        <f t="shared" si="2"/>
        <v>60.621399999999994</v>
      </c>
      <c r="P8" s="69">
        <v>0</v>
      </c>
      <c r="Q8" s="58">
        <v>24</v>
      </c>
      <c r="R8" s="58">
        <v>15</v>
      </c>
      <c r="S8" s="76">
        <f t="shared" si="3"/>
        <v>24.25</v>
      </c>
      <c r="T8" s="76">
        <f t="shared" si="4"/>
        <v>40.00237539878657</v>
      </c>
    </row>
    <row r="9" spans="1:20" ht="12.75">
      <c r="A9" s="72">
        <v>3</v>
      </c>
      <c r="B9" s="26">
        <v>7</v>
      </c>
      <c r="C9" s="43" t="s">
        <v>397</v>
      </c>
      <c r="D9" s="43"/>
      <c r="E9" s="44"/>
      <c r="F9" s="45" t="s">
        <v>470</v>
      </c>
      <c r="G9" s="46"/>
      <c r="J9" s="33">
        <f t="shared" si="0"/>
      </c>
      <c r="K9" s="33" t="str">
        <f>IF(F9="","",INDEX(Portsmouth!$A$1:J$999,MATCH(F9,Portsmouth!$B$1:$B$999,0),3))</f>
        <v>nl</v>
      </c>
      <c r="L9" s="73">
        <f t="shared" si="1"/>
        <v>100</v>
      </c>
      <c r="M9" s="74">
        <f>IF(F9="","",INDEX(Portsmouth!$A$1:$J$999,MATCH(F9,Portsmouth!$B$1:$B$999,0),$C$1+5))</f>
        <v>92.7</v>
      </c>
      <c r="N9" s="75">
        <f>IF(F9="","",IF(H9="",1,INDEX(Adjustment!$A$1:$H$99,MATCH(H9,Adjustment!$B$1:$B$99,0),$C$1+3))*IF(I9="",1,INDEX(Adjustment!$A$1:$H$99,MATCH(I9,Adjustment!$B$1:$B$99,0),$C$1+3))*IF(J9="",1,INDEX(Adjustment!$A$1:$H$99,MATCH(J9,Adjustment!$B$1:$B$99,0),$C$1+3)))</f>
        <v>1</v>
      </c>
      <c r="O9" s="75">
        <f t="shared" si="2"/>
        <v>92.7</v>
      </c>
      <c r="P9" s="69">
        <v>0</v>
      </c>
      <c r="Q9" s="58">
        <f>19*2</f>
        <v>38</v>
      </c>
      <c r="R9" s="58">
        <f>38*2</f>
        <v>76</v>
      </c>
      <c r="S9" s="76">
        <f t="shared" si="3"/>
        <v>39.266666666666666</v>
      </c>
      <c r="T9" s="76">
        <f t="shared" si="4"/>
        <v>42.358863718087015</v>
      </c>
    </row>
    <row r="10" spans="1:20" ht="12.75">
      <c r="A10" s="72">
        <v>12</v>
      </c>
      <c r="B10" s="26">
        <v>8</v>
      </c>
      <c r="C10" s="36" t="s">
        <v>474</v>
      </c>
      <c r="D10" s="43"/>
      <c r="E10" s="44"/>
      <c r="F10" s="45" t="s">
        <v>470</v>
      </c>
      <c r="G10" s="46"/>
      <c r="J10" s="33">
        <f t="shared" si="0"/>
      </c>
      <c r="K10" s="33" t="str">
        <f>IF(F10="","",INDEX(Portsmouth!$A$1:J$999,MATCH(F10,Portsmouth!$B$1:$B$999,0),3))</f>
        <v>nl</v>
      </c>
      <c r="L10" s="73">
        <f t="shared" si="1"/>
        <v>100</v>
      </c>
      <c r="M10" s="74">
        <f>IF(F10="","",INDEX(Portsmouth!$A$1:$J$999,MATCH(F10,Portsmouth!$B$1:$B$999,0),$C$1+5))</f>
        <v>92.7</v>
      </c>
      <c r="N10" s="75">
        <f>IF(F10="","",IF(H10="",1,INDEX(Adjustment!$A$1:$H$99,MATCH(H10,Adjustment!$B$1:$B$99,0),$C$1+3))*IF(I10="",1,INDEX(Adjustment!$A$1:$H$99,MATCH(I10,Adjustment!$B$1:$B$99,0),$C$1+3))*IF(J10="",1,INDEX(Adjustment!$A$1:$H$99,MATCH(J10,Adjustment!$B$1:$B$99,0),$C$1+3)))</f>
        <v>1</v>
      </c>
      <c r="O10" s="75">
        <f t="shared" si="2"/>
        <v>92.7</v>
      </c>
      <c r="P10" s="69">
        <v>0</v>
      </c>
      <c r="Q10" s="58">
        <v>38</v>
      </c>
      <c r="R10" s="58">
        <f>49*2</f>
        <v>98</v>
      </c>
      <c r="S10" s="76">
        <f t="shared" si="3"/>
        <v>39.63333333333333</v>
      </c>
      <c r="T10" s="76">
        <f t="shared" si="4"/>
        <v>42.754404890327216</v>
      </c>
    </row>
    <row r="11" spans="1:20" ht="12.75">
      <c r="A11" s="72">
        <v>4</v>
      </c>
      <c r="B11" s="26">
        <v>9</v>
      </c>
      <c r="C11" s="36" t="s">
        <v>399</v>
      </c>
      <c r="D11" s="36"/>
      <c r="E11" s="37">
        <v>113</v>
      </c>
      <c r="F11" s="37" t="s">
        <v>164</v>
      </c>
      <c r="G11" s="38">
        <v>175</v>
      </c>
      <c r="J11" s="33">
        <f t="shared" si="0"/>
      </c>
      <c r="K11" s="33">
        <f>IF(F11="","",INDEX(Portsmouth!$A$1:J$999,MATCH(F11,Portsmouth!$B$1:$B$999,0),3))</f>
        <v>175</v>
      </c>
      <c r="L11" s="73">
        <f t="shared" si="1"/>
        <v>100</v>
      </c>
      <c r="M11" s="74">
        <f>IF(F11="","",INDEX(Portsmouth!$A$1:$J$999,MATCH(F11,Portsmouth!$B$1:$B$999,0),$C$1+5))</f>
        <v>68</v>
      </c>
      <c r="N11" s="75">
        <f>IF(F11="","",IF(H11="",1,INDEX(Adjustment!$A$1:$H$99,MATCH(H11,Adjustment!$B$1:$B$99,0),$C$1+3))*IF(I11="",1,INDEX(Adjustment!$A$1:$H$99,MATCH(I11,Adjustment!$B$1:$B$99,0),$C$1+3))*IF(J11="",1,INDEX(Adjustment!$A$1:$H$99,MATCH(J11,Adjustment!$B$1:$B$99,0),$C$1+3)))</f>
        <v>1</v>
      </c>
      <c r="O11" s="75">
        <f t="shared" si="2"/>
        <v>68</v>
      </c>
      <c r="P11" s="69">
        <v>0</v>
      </c>
      <c r="Q11" s="58">
        <v>29</v>
      </c>
      <c r="R11" s="58">
        <v>12</v>
      </c>
      <c r="S11" s="76">
        <f t="shared" si="3"/>
        <v>29.2</v>
      </c>
      <c r="T11" s="76">
        <f t="shared" si="4"/>
        <v>42.94117647058823</v>
      </c>
    </row>
    <row r="12" spans="1:20" ht="12.75">
      <c r="A12" s="72">
        <v>6</v>
      </c>
      <c r="B12" s="26">
        <v>10</v>
      </c>
      <c r="C12" s="36" t="s">
        <v>453</v>
      </c>
      <c r="D12" s="36"/>
      <c r="E12" s="37">
        <v>127</v>
      </c>
      <c r="F12" s="37" t="s">
        <v>164</v>
      </c>
      <c r="G12" s="38">
        <v>166</v>
      </c>
      <c r="J12" s="33" t="str">
        <f t="shared" si="0"/>
        <v>L1</v>
      </c>
      <c r="K12" s="33">
        <f>IF(F12="","",INDEX(Portsmouth!$A$1:J$999,MATCH(F12,Portsmouth!$B$1:$B$999,0),3))</f>
        <v>175</v>
      </c>
      <c r="L12" s="73">
        <f t="shared" si="1"/>
        <v>94.85714285714286</v>
      </c>
      <c r="M12" s="74">
        <f>IF(F12="","",INDEX(Portsmouth!$A$1:$J$999,MATCH(F12,Portsmouth!$B$1:$B$999,0),$C$1+5))</f>
        <v>68</v>
      </c>
      <c r="N12" s="75">
        <f>IF(F12="","",IF(H12="",1,INDEX(Adjustment!$A$1:$H$99,MATCH(H12,Adjustment!$B$1:$B$99,0),$C$1+3))*IF(I12="",1,INDEX(Adjustment!$A$1:$H$99,MATCH(I12,Adjustment!$B$1:$B$99,0),$C$1+3))*IF(J12="",1,INDEX(Adjustment!$A$1:$H$99,MATCH(J12,Adjustment!$B$1:$B$99,0),$C$1+3)))</f>
        <v>0.991</v>
      </c>
      <c r="O12" s="75">
        <f t="shared" si="2"/>
        <v>67.388</v>
      </c>
      <c r="P12" s="69">
        <v>0</v>
      </c>
      <c r="Q12" s="58">
        <v>30</v>
      </c>
      <c r="R12" s="58">
        <v>52</v>
      </c>
      <c r="S12" s="76">
        <f t="shared" si="3"/>
        <v>30.866666666666667</v>
      </c>
      <c r="T12" s="76">
        <f t="shared" si="4"/>
        <v>45.804396430620685</v>
      </c>
    </row>
    <row r="13" spans="1:20" ht="12.75">
      <c r="A13" s="72">
        <v>8</v>
      </c>
      <c r="B13" s="26">
        <v>13</v>
      </c>
      <c r="C13" s="33" t="s">
        <v>471</v>
      </c>
      <c r="D13" s="33" t="s">
        <v>472</v>
      </c>
      <c r="E13" s="50">
        <v>348</v>
      </c>
      <c r="F13" s="33" t="s">
        <v>35</v>
      </c>
      <c r="G13" s="33">
        <v>348</v>
      </c>
      <c r="H13" s="33" t="s">
        <v>445</v>
      </c>
      <c r="K13" s="33">
        <f>IF(F13="","",INDEX(Portsmouth!$A$1:J$999,MATCH(F13,Portsmouth!$B$1:$B$999,0),3))</f>
        <v>330</v>
      </c>
      <c r="L13" s="73">
        <f t="shared" si="1"/>
        <v>105.45454545454545</v>
      </c>
      <c r="M13" s="74">
        <f>IF(F13="","",INDEX(Portsmouth!$A$1:$J$999,MATCH(F13,Portsmouth!$B$1:$B$999,0),$C$1+5))</f>
        <v>63.9</v>
      </c>
      <c r="N13" s="75">
        <f>IF(F13="","",IF(H13="",1,INDEX(Adjustment!$A$1:$H$99,MATCH(H13,Adjustment!$B$1:$B$99,0),$C$1+3))*IF(I13="",1,INDEX(Adjustment!$A$1:$H$99,MATCH(I13,Adjustment!$B$1:$B$99,0),$C$1+3))*IF(J13="",1,INDEX(Adjustment!$A$1:$H$99,MATCH(J13,Adjustment!$B$1:$B$99,0),$C$1+3)))</f>
        <v>1.025</v>
      </c>
      <c r="O13" s="75">
        <f t="shared" si="2"/>
        <v>65.49749999999999</v>
      </c>
      <c r="P13" s="69">
        <v>0</v>
      </c>
      <c r="Q13" s="58" t="s">
        <v>476</v>
      </c>
      <c r="S13" s="76">
        <f t="shared" si="3"/>
      </c>
      <c r="T13" s="76">
        <f t="shared" si="4"/>
      </c>
    </row>
    <row r="14" spans="1:20" ht="12.75">
      <c r="A14" s="71">
        <v>10</v>
      </c>
      <c r="B14" s="26">
        <v>13</v>
      </c>
      <c r="C14" s="36" t="s">
        <v>473</v>
      </c>
      <c r="D14" s="36" t="s">
        <v>461</v>
      </c>
      <c r="E14" s="37" t="s">
        <v>477</v>
      </c>
      <c r="F14" s="37" t="s">
        <v>81</v>
      </c>
      <c r="G14" s="38">
        <v>385</v>
      </c>
      <c r="J14" s="33" t="str">
        <f t="shared" si="0"/>
        <v>H3</v>
      </c>
      <c r="K14" s="33">
        <f>IF(F14="","",INDEX(Portsmouth!$A$1:J$999,MATCH(F14,Portsmouth!$B$1:$B$999,0),3))</f>
        <v>285</v>
      </c>
      <c r="L14" s="73">
        <f t="shared" si="1"/>
        <v>135.08771929824562</v>
      </c>
      <c r="M14" s="74">
        <f>IF(F14="","",INDEX(Portsmouth!$A$1:$J$999,MATCH(F14,Portsmouth!$B$1:$B$999,0),$C$1+5))</f>
        <v>78.7</v>
      </c>
      <c r="N14" s="75">
        <f>IF(F14="","",IF(H14="",1,INDEX(Adjustment!$A$1:$H$99,MATCH(H14,Adjustment!$B$1:$B$99,0),$C$1+3))*IF(I14="",1,INDEX(Adjustment!$A$1:$H$99,MATCH(I14,Adjustment!$B$1:$B$99,0),$C$1+3))*IF(J14="",1,INDEX(Adjustment!$A$1:$H$99,MATCH(J14,Adjustment!$B$1:$B$99,0),$C$1+3)))</f>
        <v>1.02</v>
      </c>
      <c r="O14" s="75">
        <f t="shared" si="2"/>
        <v>80.274</v>
      </c>
      <c r="P14" s="69">
        <v>0</v>
      </c>
      <c r="Q14" s="58" t="s">
        <v>475</v>
      </c>
      <c r="S14" s="76">
        <f t="shared" si="3"/>
      </c>
      <c r="T14" s="76">
        <f t="shared" si="4"/>
      </c>
    </row>
    <row r="15" spans="1:7" ht="12.75">
      <c r="A15" s="71"/>
      <c r="B15" s="42"/>
      <c r="C15" s="36"/>
      <c r="D15" s="36"/>
      <c r="E15" s="37"/>
      <c r="F15" s="37"/>
      <c r="G15" s="38"/>
    </row>
    <row r="16" spans="1:7" ht="12.75">
      <c r="A16" s="71"/>
      <c r="B16" s="42"/>
      <c r="C16" s="36"/>
      <c r="D16" s="36"/>
      <c r="E16" s="37"/>
      <c r="F16" s="37"/>
      <c r="G16" s="38"/>
    </row>
    <row r="17" spans="2:7" ht="12.75">
      <c r="B17" s="42"/>
      <c r="C17" s="36"/>
      <c r="D17" s="36"/>
      <c r="E17" s="37"/>
      <c r="F17" s="37"/>
      <c r="G17" s="38"/>
    </row>
    <row r="18" spans="1:7" ht="12.75">
      <c r="A18" s="71"/>
      <c r="B18" s="42"/>
      <c r="C18" s="36"/>
      <c r="D18" s="36"/>
      <c r="E18" s="37"/>
      <c r="F18" s="37"/>
      <c r="G18" s="38"/>
    </row>
    <row r="19" spans="2:7" ht="12.75">
      <c r="B19" s="42"/>
      <c r="C19" s="36"/>
      <c r="D19" s="36"/>
      <c r="E19" s="37"/>
      <c r="F19" s="37"/>
      <c r="G19" s="38"/>
    </row>
    <row r="20" spans="1:7" ht="12.75">
      <c r="A20" s="71"/>
      <c r="B20" s="42"/>
      <c r="C20" s="36"/>
      <c r="D20" s="36"/>
      <c r="E20" s="37"/>
      <c r="F20" s="37"/>
      <c r="G20" s="38"/>
    </row>
    <row r="21" spans="1:7" ht="12.75">
      <c r="A21" s="71"/>
      <c r="B21" s="42"/>
      <c r="C21" s="36"/>
      <c r="D21" s="36"/>
      <c r="E21" s="37"/>
      <c r="F21" s="37"/>
      <c r="G21" s="38"/>
    </row>
    <row r="22" spans="1:7" ht="12.75">
      <c r="A22" s="71"/>
      <c r="B22" s="42"/>
      <c r="C22" s="36"/>
      <c r="D22" s="47"/>
      <c r="E22" s="37"/>
      <c r="F22" s="37"/>
      <c r="G22" s="38"/>
    </row>
    <row r="23" spans="1:7" ht="12.75">
      <c r="A23" s="71"/>
      <c r="B23" s="42"/>
      <c r="C23" s="36"/>
      <c r="D23" s="36"/>
      <c r="E23" s="37"/>
      <c r="F23" s="37"/>
      <c r="G23" s="38"/>
    </row>
    <row r="24" spans="1:7" ht="12.75">
      <c r="A24" s="71"/>
      <c r="B24" s="42"/>
      <c r="C24" s="49"/>
      <c r="D24" s="49"/>
      <c r="E24" s="48"/>
      <c r="F24" s="49"/>
      <c r="G24" s="49"/>
    </row>
    <row r="25" spans="1:7" ht="12.75">
      <c r="A25" s="71"/>
      <c r="B25" s="42"/>
      <c r="C25" s="36"/>
      <c r="D25" s="36"/>
      <c r="E25" s="37"/>
      <c r="F25" s="37"/>
      <c r="G25" s="38"/>
    </row>
    <row r="26" spans="1:5" ht="12.75">
      <c r="A26" s="71"/>
      <c r="B26" s="42"/>
      <c r="E26" s="50"/>
    </row>
    <row r="27" spans="1:7" ht="12.75">
      <c r="A27" s="71"/>
      <c r="B27" s="42"/>
      <c r="C27" s="36"/>
      <c r="D27" s="36"/>
      <c r="E27" s="37"/>
      <c r="F27" s="37"/>
      <c r="G27" s="38"/>
    </row>
    <row r="28" spans="2:7" ht="12.75">
      <c r="B28" s="42"/>
      <c r="C28" s="36"/>
      <c r="D28" s="36"/>
      <c r="E28" s="37"/>
      <c r="F28" s="37"/>
      <c r="G28" s="38"/>
    </row>
    <row r="29" spans="3:7" ht="12.75">
      <c r="C29" s="36"/>
      <c r="D29" s="36"/>
      <c r="E29" s="37"/>
      <c r="F29" s="37"/>
      <c r="G29" s="38"/>
    </row>
    <row r="30" spans="3:7" ht="12.75">
      <c r="C30" s="36"/>
      <c r="D30" s="36"/>
      <c r="E30" s="37"/>
      <c r="F30" s="37"/>
      <c r="G30" s="38"/>
    </row>
    <row r="31" spans="2:7" ht="12.75">
      <c r="B31" s="42"/>
      <c r="C31" s="43"/>
      <c r="D31" s="43"/>
      <c r="E31" s="48"/>
      <c r="F31" s="45"/>
      <c r="G31" s="46"/>
    </row>
    <row r="32" spans="3:7" ht="12.75">
      <c r="C32" s="36"/>
      <c r="D32" s="36"/>
      <c r="E32" s="37"/>
      <c r="F32" s="37"/>
      <c r="G32" s="38"/>
    </row>
    <row r="33" spans="3:7" ht="12.75">
      <c r="C33" s="36"/>
      <c r="D33" s="36"/>
      <c r="E33" s="37"/>
      <c r="F33" s="37"/>
      <c r="G33" s="38"/>
    </row>
    <row r="34" spans="2:7" ht="12.75">
      <c r="B34" s="42"/>
      <c r="C34" s="36"/>
      <c r="D34" s="36"/>
      <c r="E34" s="37"/>
      <c r="F34" s="37"/>
      <c r="G34" s="38"/>
    </row>
    <row r="35" spans="2:7" ht="12.75">
      <c r="B35" s="42"/>
      <c r="C35" s="36"/>
      <c r="D35" s="36"/>
      <c r="E35" s="37"/>
      <c r="F35" s="37"/>
      <c r="G35" s="38"/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35"/>
  <sheetViews>
    <sheetView workbookViewId="0" topLeftCell="A1">
      <pane ySplit="2" topLeftCell="BM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7.28125" style="72" bestFit="1" customWidth="1"/>
    <col min="2" max="2" width="5.421875" style="33" bestFit="1" customWidth="1"/>
    <col min="3" max="3" width="15.140625" style="33" bestFit="1" customWidth="1"/>
    <col min="4" max="4" width="16.00390625" style="33" bestFit="1" customWidth="1"/>
    <col min="5" max="5" width="6.7109375" style="33" bestFit="1" customWidth="1"/>
    <col min="6" max="6" width="6.140625" style="33" bestFit="1" customWidth="1"/>
    <col min="7" max="7" width="4.00390625" style="33" bestFit="1" customWidth="1"/>
    <col min="8" max="8" width="3.57421875" style="33" bestFit="1" customWidth="1"/>
    <col min="9" max="9" width="3.28125" style="33" bestFit="1" customWidth="1"/>
    <col min="10" max="10" width="3.7109375" style="33" bestFit="1" customWidth="1"/>
    <col min="11" max="11" width="3.8515625" style="33" bestFit="1" customWidth="1"/>
    <col min="12" max="12" width="7.7109375" style="73" bestFit="1" customWidth="1"/>
    <col min="13" max="13" width="7.7109375" style="74" bestFit="1" customWidth="1"/>
    <col min="14" max="14" width="6.7109375" style="75" bestFit="1" customWidth="1"/>
    <col min="15" max="15" width="7.7109375" style="75" bestFit="1" customWidth="1"/>
    <col min="16" max="16" width="3.7109375" style="69" bestFit="1" customWidth="1"/>
    <col min="17" max="17" width="3.8515625" style="58" bestFit="1" customWidth="1"/>
    <col min="18" max="18" width="4.00390625" style="58" bestFit="1" customWidth="1"/>
    <col min="19" max="19" width="7.7109375" style="76" bestFit="1" customWidth="1"/>
    <col min="20" max="20" width="9.28125" style="76" bestFit="1" customWidth="1"/>
    <col min="21" max="16384" width="8.7109375" style="33" customWidth="1"/>
  </cols>
  <sheetData>
    <row r="1" spans="1:20" ht="12.75">
      <c r="A1" s="70" t="s">
        <v>447</v>
      </c>
      <c r="B1" s="27"/>
      <c r="C1" s="55">
        <v>3</v>
      </c>
      <c r="D1" s="56" t="s">
        <v>446</v>
      </c>
      <c r="E1" s="28"/>
      <c r="F1" s="29"/>
      <c r="G1" s="29"/>
      <c r="H1" s="77" t="s">
        <v>319</v>
      </c>
      <c r="I1" s="77"/>
      <c r="J1" s="77"/>
      <c r="K1" s="31" t="s">
        <v>320</v>
      </c>
      <c r="L1" s="31" t="s">
        <v>394</v>
      </c>
      <c r="M1" s="79" t="s">
        <v>450</v>
      </c>
      <c r="N1" s="80"/>
      <c r="O1" s="54">
        <v>6</v>
      </c>
      <c r="P1" s="78" t="s">
        <v>448</v>
      </c>
      <c r="Q1" s="78"/>
      <c r="R1" s="78"/>
      <c r="S1" s="78"/>
      <c r="T1" s="78"/>
    </row>
    <row r="2" spans="1:20" ht="12.75">
      <c r="A2" s="70" t="s">
        <v>321</v>
      </c>
      <c r="B2" s="28" t="s">
        <v>409</v>
      </c>
      <c r="C2" s="28" t="s">
        <v>322</v>
      </c>
      <c r="D2" s="28" t="s">
        <v>323</v>
      </c>
      <c r="E2" s="28" t="s">
        <v>324</v>
      </c>
      <c r="F2" s="31" t="s">
        <v>5</v>
      </c>
      <c r="G2" s="31" t="s">
        <v>325</v>
      </c>
      <c r="H2" s="30" t="s">
        <v>326</v>
      </c>
      <c r="I2" s="30" t="s">
        <v>327</v>
      </c>
      <c r="J2" s="30" t="s">
        <v>328</v>
      </c>
      <c r="K2" s="30" t="s">
        <v>328</v>
      </c>
      <c r="L2" s="34" t="s">
        <v>329</v>
      </c>
      <c r="M2" s="35" t="s">
        <v>330</v>
      </c>
      <c r="N2" s="32" t="s">
        <v>331</v>
      </c>
      <c r="O2" s="32" t="s">
        <v>332</v>
      </c>
      <c r="P2" s="68" t="s">
        <v>333</v>
      </c>
      <c r="Q2" s="57" t="s">
        <v>320</v>
      </c>
      <c r="R2" s="57" t="s">
        <v>334</v>
      </c>
      <c r="S2" s="52" t="s">
        <v>335</v>
      </c>
      <c r="T2" s="52" t="s">
        <v>336</v>
      </c>
    </row>
    <row r="3" spans="1:20" ht="12.75">
      <c r="A3" s="71">
        <v>11</v>
      </c>
      <c r="B3" s="26">
        <v>1</v>
      </c>
      <c r="C3" s="36" t="s">
        <v>459</v>
      </c>
      <c r="D3" s="36" t="s">
        <v>460</v>
      </c>
      <c r="E3" s="37">
        <v>2492</v>
      </c>
      <c r="F3" s="37" t="s">
        <v>35</v>
      </c>
      <c r="G3" s="38">
        <v>360</v>
      </c>
      <c r="J3" s="33">
        <f aca="true" t="shared" si="0" ref="J3:J13">IF(OR(F3="",K3="nl"),"",IF(L3&lt;70,"L4",IF(L3&lt;80,"L3",IF(L3&lt;90,"L2",IF(L3&lt;100,"L1",IF(L3&gt;130,"H3",IF(L3&gt;120,"H2",IF(L3&gt;110,"H1",""))))))))</f>
      </c>
      <c r="K3" s="33">
        <f>IF(F3="","",INDEX(Portsmouth!$A$1:J$999,MATCH(F3,Portsmouth!$B$1:$B$999,0),3))</f>
        <v>330</v>
      </c>
      <c r="L3" s="73">
        <f aca="true" t="shared" si="1" ref="L3:L14">IF(F3="","",IF(K3="nl",100,100*G3/K3))</f>
        <v>109.0909090909091</v>
      </c>
      <c r="M3" s="74">
        <f>IF(F3="","",INDEX(Portsmouth!$A$1:$J$999,MATCH(F3,Portsmouth!$B$1:$B$999,0),$C$1+5))</f>
        <v>63.9</v>
      </c>
      <c r="N3" s="75">
        <f>IF(F3="","",IF(H3="",1,INDEX(Adjustment!$A$1:$H$99,MATCH(H3,Adjustment!$B$1:$B$99,0),$C$1+3))*IF(I3="",1,INDEX(Adjustment!$A$1:$H$99,MATCH(I3,Adjustment!$B$1:$B$99,0),$C$1+3))*IF(J3="",1,INDEX(Adjustment!$A$1:$H$99,MATCH(J3,Adjustment!$B$1:$B$99,0),$C$1+3)))</f>
        <v>1</v>
      </c>
      <c r="O3" s="75">
        <f aca="true" t="shared" si="2" ref="O3:O14">IF(F3="","",M3*N3)</f>
        <v>63.9</v>
      </c>
      <c r="P3" s="69">
        <v>0</v>
      </c>
      <c r="Q3" s="58">
        <v>23</v>
      </c>
      <c r="R3" s="58">
        <v>3</v>
      </c>
      <c r="S3" s="76">
        <f aca="true" t="shared" si="3" ref="S3:S14">IF(R3="","",IF(TYPE(R3)=2,R3,(P3*60+Q3+(R3/60))))</f>
        <v>23.05</v>
      </c>
      <c r="T3" s="76">
        <f aca="true" t="shared" si="4" ref="T3:T14">IF(S3="","",IF(TYPE(R3)=2,S3,S3/(O3*0.01)))</f>
        <v>36.07198748043818</v>
      </c>
    </row>
    <row r="4" spans="1:20" ht="12.75">
      <c r="A4" s="72">
        <v>2</v>
      </c>
      <c r="B4" s="26">
        <v>2</v>
      </c>
      <c r="C4" s="36" t="s">
        <v>400</v>
      </c>
      <c r="D4" s="36"/>
      <c r="E4" s="37">
        <v>723</v>
      </c>
      <c r="F4" s="37" t="s">
        <v>164</v>
      </c>
      <c r="G4" s="38">
        <v>175</v>
      </c>
      <c r="J4" s="33">
        <f t="shared" si="0"/>
      </c>
      <c r="K4" s="33">
        <f>IF(F4="","",INDEX(Portsmouth!$A$1:J$999,MATCH(F4,Portsmouth!$B$1:$B$999,0),3))</f>
        <v>175</v>
      </c>
      <c r="L4" s="73">
        <f t="shared" si="1"/>
        <v>100</v>
      </c>
      <c r="M4" s="74">
        <f>IF(F4="","",INDEX(Portsmouth!$A$1:$J$999,MATCH(F4,Portsmouth!$B$1:$B$999,0),$C$1+5))</f>
        <v>68</v>
      </c>
      <c r="N4" s="75">
        <f>IF(F4="","",IF(H4="",1,INDEX(Adjustment!$A$1:$H$99,MATCH(H4,Adjustment!$B$1:$B$99,0),$C$1+3))*IF(I4="",1,INDEX(Adjustment!$A$1:$H$99,MATCH(I4,Adjustment!$B$1:$B$99,0),$C$1+3))*IF(J4="",1,INDEX(Adjustment!$A$1:$H$99,MATCH(J4,Adjustment!$B$1:$B$99,0),$C$1+3)))</f>
        <v>1</v>
      </c>
      <c r="O4" s="75">
        <f t="shared" si="2"/>
        <v>68</v>
      </c>
      <c r="P4" s="69">
        <v>0</v>
      </c>
      <c r="Q4" s="58">
        <v>24</v>
      </c>
      <c r="R4" s="58">
        <v>55</v>
      </c>
      <c r="S4" s="76">
        <f t="shared" si="3"/>
        <v>24.916666666666668</v>
      </c>
      <c r="T4" s="76">
        <f t="shared" si="4"/>
        <v>36.6421568627451</v>
      </c>
    </row>
    <row r="5" spans="1:20" ht="12.75">
      <c r="A5" s="71">
        <v>10</v>
      </c>
      <c r="B5" s="26">
        <v>3</v>
      </c>
      <c r="C5" s="36" t="s">
        <v>473</v>
      </c>
      <c r="D5" s="36" t="s">
        <v>461</v>
      </c>
      <c r="E5" s="37" t="s">
        <v>477</v>
      </c>
      <c r="F5" s="37" t="s">
        <v>81</v>
      </c>
      <c r="G5" s="38">
        <v>385</v>
      </c>
      <c r="J5" s="33" t="str">
        <f t="shared" si="0"/>
        <v>H3</v>
      </c>
      <c r="K5" s="33">
        <f>IF(F5="","",INDEX(Portsmouth!$A$1:J$999,MATCH(F5,Portsmouth!$B$1:$B$999,0),3))</f>
        <v>285</v>
      </c>
      <c r="L5" s="73">
        <f t="shared" si="1"/>
        <v>135.08771929824562</v>
      </c>
      <c r="M5" s="74">
        <f>IF(F5="","",INDEX(Portsmouth!$A$1:$J$999,MATCH(F5,Portsmouth!$B$1:$B$999,0),$C$1+5))</f>
        <v>78.7</v>
      </c>
      <c r="N5" s="75">
        <f>IF(F5="","",IF(H5="",1,INDEX(Adjustment!$A$1:$H$99,MATCH(H5,Adjustment!$B$1:$B$99,0),$C$1+3))*IF(I5="",1,INDEX(Adjustment!$A$1:$H$99,MATCH(I5,Adjustment!$B$1:$B$99,0),$C$1+3))*IF(J5="",1,INDEX(Adjustment!$A$1:$H$99,MATCH(J5,Adjustment!$B$1:$B$99,0),$C$1+3)))</f>
        <v>1.02</v>
      </c>
      <c r="O5" s="75">
        <f t="shared" si="2"/>
        <v>80.274</v>
      </c>
      <c r="P5" s="69">
        <v>0</v>
      </c>
      <c r="Q5" s="58">
        <v>30</v>
      </c>
      <c r="R5" s="58">
        <v>1</v>
      </c>
      <c r="S5" s="76">
        <f t="shared" si="3"/>
        <v>30.016666666666666</v>
      </c>
      <c r="T5" s="76">
        <f t="shared" si="4"/>
        <v>37.392763119648535</v>
      </c>
    </row>
    <row r="6" spans="1:20" ht="12.75">
      <c r="A6" s="71">
        <v>9</v>
      </c>
      <c r="B6" s="26">
        <v>4</v>
      </c>
      <c r="C6" s="33" t="s">
        <v>458</v>
      </c>
      <c r="D6" s="36" t="s">
        <v>457</v>
      </c>
      <c r="E6" s="37">
        <v>1001</v>
      </c>
      <c r="F6" s="37" t="s">
        <v>170</v>
      </c>
      <c r="G6" s="38">
        <v>420</v>
      </c>
      <c r="J6" s="33" t="str">
        <f t="shared" si="0"/>
        <v>H2</v>
      </c>
      <c r="K6" s="33">
        <f>IF(F6="","",INDEX(Portsmouth!$A$1:J$999,MATCH(F6,Portsmouth!$B$1:$B$999,0),3))</f>
        <v>325</v>
      </c>
      <c r="L6" s="73">
        <f t="shared" si="1"/>
        <v>129.23076923076923</v>
      </c>
      <c r="M6" s="74">
        <f>IF(F6="","",INDEX(Portsmouth!$A$1:$J$999,MATCH(F6,Portsmouth!$B$1:$B$999,0),$C$1+5))</f>
        <v>60.2</v>
      </c>
      <c r="N6" s="75">
        <f>IF(F6="","",IF(H6="",1,INDEX(Adjustment!$A$1:$H$99,MATCH(H6,Adjustment!$B$1:$B$99,0),$C$1+3))*IF(I6="",1,INDEX(Adjustment!$A$1:$H$99,MATCH(I6,Adjustment!$B$1:$B$99,0),$C$1+3))*IF(J6="",1,INDEX(Adjustment!$A$1:$H$99,MATCH(J6,Adjustment!$B$1:$B$99,0),$C$1+3)))</f>
        <v>1.013</v>
      </c>
      <c r="O6" s="75">
        <f t="shared" si="2"/>
        <v>60.9826</v>
      </c>
      <c r="P6" s="69">
        <v>0</v>
      </c>
      <c r="Q6" s="58">
        <v>24</v>
      </c>
      <c r="R6" s="58">
        <v>23</v>
      </c>
      <c r="S6" s="76">
        <f t="shared" si="3"/>
        <v>24.383333333333333</v>
      </c>
      <c r="T6" s="76">
        <f t="shared" si="4"/>
        <v>39.98408289140399</v>
      </c>
    </row>
    <row r="7" spans="1:20" ht="12.75">
      <c r="A7" s="72">
        <v>7</v>
      </c>
      <c r="B7" s="26">
        <v>5</v>
      </c>
      <c r="C7" s="36" t="s">
        <v>462</v>
      </c>
      <c r="D7" s="36" t="s">
        <v>401</v>
      </c>
      <c r="E7" s="37">
        <v>927</v>
      </c>
      <c r="F7" s="37" t="s">
        <v>170</v>
      </c>
      <c r="G7" s="38">
        <v>360</v>
      </c>
      <c r="J7" s="33" t="str">
        <f t="shared" si="0"/>
        <v>H1</v>
      </c>
      <c r="K7" s="33">
        <f>IF(F7="","",INDEX(Portsmouth!$A$1:J$999,MATCH(F7,Portsmouth!$B$1:$B$999,0),3))</f>
        <v>325</v>
      </c>
      <c r="L7" s="73">
        <f t="shared" si="1"/>
        <v>110.76923076923077</v>
      </c>
      <c r="M7" s="74">
        <f>IF(F7="","",INDEX(Portsmouth!$A$1:$J$999,MATCH(F7,Portsmouth!$B$1:$B$999,0),$C$1+5))</f>
        <v>60.2</v>
      </c>
      <c r="N7" s="75">
        <f>IF(F7="","",IF(H7="",1,INDEX(Adjustment!$A$1:$H$99,MATCH(H7,Adjustment!$B$1:$B$99,0),$C$1+3))*IF(I7="",1,INDEX(Adjustment!$A$1:$H$99,MATCH(I7,Adjustment!$B$1:$B$99,0),$C$1+3))*IF(J7="",1,INDEX(Adjustment!$A$1:$H$99,MATCH(J7,Adjustment!$B$1:$B$99,0),$C$1+3)))</f>
        <v>1.007</v>
      </c>
      <c r="O7" s="75">
        <f t="shared" si="2"/>
        <v>60.621399999999994</v>
      </c>
      <c r="P7" s="69">
        <v>0</v>
      </c>
      <c r="Q7" s="58">
        <v>24</v>
      </c>
      <c r="R7" s="58">
        <v>33</v>
      </c>
      <c r="S7" s="76">
        <f t="shared" si="3"/>
        <v>24.55</v>
      </c>
      <c r="T7" s="76">
        <f t="shared" si="4"/>
        <v>40.497250145988055</v>
      </c>
    </row>
    <row r="8" spans="1:20" ht="12.75">
      <c r="A8" s="71">
        <v>1</v>
      </c>
      <c r="B8" s="26">
        <v>6</v>
      </c>
      <c r="C8" s="47" t="s">
        <v>456</v>
      </c>
      <c r="D8" s="47"/>
      <c r="E8" s="48">
        <v>65915</v>
      </c>
      <c r="F8" s="37" t="s">
        <v>81</v>
      </c>
      <c r="G8" s="38">
        <v>220</v>
      </c>
      <c r="J8" s="33" t="str">
        <f t="shared" si="0"/>
        <v>L3</v>
      </c>
      <c r="K8" s="33">
        <f>IF(F8="","",INDEX(Portsmouth!$A$1:J$999,MATCH(F8,Portsmouth!$B$1:$B$999,0),3))</f>
        <v>285</v>
      </c>
      <c r="L8" s="73">
        <f t="shared" si="1"/>
        <v>77.19298245614036</v>
      </c>
      <c r="M8" s="74">
        <f>IF(F8="","",INDEX(Portsmouth!$A$1:$J$999,MATCH(F8,Portsmouth!$B$1:$B$999,0),$C$1+5))</f>
        <v>78.7</v>
      </c>
      <c r="N8" s="75">
        <f>IF(F8="","",IF(H8="",1,INDEX(Adjustment!$A$1:$H$99,MATCH(H8,Adjustment!$B$1:$B$99,0),$C$1+3))*IF(I8="",1,INDEX(Adjustment!$A$1:$H$99,MATCH(I8,Adjustment!$B$1:$B$99,0),$C$1+3))*IF(J8="",1,INDEX(Adjustment!$A$1:$H$99,MATCH(J8,Adjustment!$B$1:$B$99,0),$C$1+3)))</f>
        <v>0.974</v>
      </c>
      <c r="O8" s="75">
        <f t="shared" si="2"/>
        <v>76.6538</v>
      </c>
      <c r="P8" s="69">
        <v>0</v>
      </c>
      <c r="Q8" s="58">
        <v>31</v>
      </c>
      <c r="R8" s="58">
        <v>44</v>
      </c>
      <c r="S8" s="76">
        <f t="shared" si="3"/>
        <v>31.733333333333334</v>
      </c>
      <c r="T8" s="76">
        <f t="shared" si="4"/>
        <v>41.39825205447523</v>
      </c>
    </row>
    <row r="9" spans="1:20" ht="12.75">
      <c r="A9" s="72">
        <v>5</v>
      </c>
      <c r="B9" s="26">
        <v>7</v>
      </c>
      <c r="C9" s="36" t="s">
        <v>398</v>
      </c>
      <c r="D9" s="36"/>
      <c r="E9" s="37">
        <v>6661</v>
      </c>
      <c r="F9" s="37" t="s">
        <v>83</v>
      </c>
      <c r="G9" s="38">
        <v>200</v>
      </c>
      <c r="J9" s="33" t="str">
        <f t="shared" si="0"/>
        <v>H2</v>
      </c>
      <c r="K9" s="33">
        <f>IF(F9="","",INDEX(Portsmouth!$A$1:J$999,MATCH(F9,Portsmouth!$B$1:$B$999,0),3))</f>
        <v>160</v>
      </c>
      <c r="L9" s="73">
        <f t="shared" si="1"/>
        <v>125</v>
      </c>
      <c r="M9" s="74">
        <f>IF(F9="","",INDEX(Portsmouth!$A$1:$J$999,MATCH(F9,Portsmouth!$B$1:$B$999,0),$C$1+5))</f>
        <v>76.2</v>
      </c>
      <c r="N9" s="75">
        <f>IF(F9="","",IF(H9="",1,INDEX(Adjustment!$A$1:$H$99,MATCH(H9,Adjustment!$B$1:$B$99,0),$C$1+3))*IF(I9="",1,INDEX(Adjustment!$A$1:$H$99,MATCH(I9,Adjustment!$B$1:$B$99,0),$C$1+3))*IF(J9="",1,INDEX(Adjustment!$A$1:$H$99,MATCH(J9,Adjustment!$B$1:$B$99,0),$C$1+3)))</f>
        <v>1.013</v>
      </c>
      <c r="O9" s="75">
        <f t="shared" si="2"/>
        <v>77.19059999999999</v>
      </c>
      <c r="P9" s="69">
        <v>0</v>
      </c>
      <c r="Q9" s="58">
        <v>32</v>
      </c>
      <c r="R9" s="58">
        <v>31</v>
      </c>
      <c r="S9" s="76">
        <f t="shared" si="3"/>
        <v>32.516666666666666</v>
      </c>
      <c r="T9" s="76">
        <f t="shared" si="4"/>
        <v>42.125163772100066</v>
      </c>
    </row>
    <row r="10" spans="1:20" ht="12.75">
      <c r="A10" s="72">
        <v>6</v>
      </c>
      <c r="B10" s="26">
        <v>8</v>
      </c>
      <c r="C10" s="36" t="s">
        <v>453</v>
      </c>
      <c r="D10" s="36"/>
      <c r="E10" s="37">
        <v>127</v>
      </c>
      <c r="F10" s="37" t="s">
        <v>164</v>
      </c>
      <c r="G10" s="38">
        <v>166</v>
      </c>
      <c r="J10" s="33" t="str">
        <f t="shared" si="0"/>
        <v>L1</v>
      </c>
      <c r="K10" s="33">
        <f>IF(F10="","",INDEX(Portsmouth!$A$1:J$999,MATCH(F10,Portsmouth!$B$1:$B$999,0),3))</f>
        <v>175</v>
      </c>
      <c r="L10" s="73">
        <f t="shared" si="1"/>
        <v>94.85714285714286</v>
      </c>
      <c r="M10" s="74">
        <f>IF(F10="","",INDEX(Portsmouth!$A$1:$J$999,MATCH(F10,Portsmouth!$B$1:$B$999,0),$C$1+5))</f>
        <v>68</v>
      </c>
      <c r="N10" s="75">
        <f>IF(F10="","",IF(H10="",1,INDEX(Adjustment!$A$1:$H$99,MATCH(H10,Adjustment!$B$1:$B$99,0),$C$1+3))*IF(I10="",1,INDEX(Adjustment!$A$1:$H$99,MATCH(I10,Adjustment!$B$1:$B$99,0),$C$1+3))*IF(J10="",1,INDEX(Adjustment!$A$1:$H$99,MATCH(J10,Adjustment!$B$1:$B$99,0),$C$1+3)))</f>
        <v>0.991</v>
      </c>
      <c r="O10" s="75">
        <f t="shared" si="2"/>
        <v>67.388</v>
      </c>
      <c r="P10" s="69">
        <v>0</v>
      </c>
      <c r="Q10" s="58">
        <v>28</v>
      </c>
      <c r="R10" s="58">
        <v>56</v>
      </c>
      <c r="S10" s="76">
        <f t="shared" si="3"/>
        <v>28.933333333333334</v>
      </c>
      <c r="T10" s="76">
        <f t="shared" si="4"/>
        <v>42.935438554836665</v>
      </c>
    </row>
    <row r="11" spans="1:20" ht="12.75">
      <c r="A11" s="72">
        <v>4</v>
      </c>
      <c r="B11" s="26">
        <v>9</v>
      </c>
      <c r="C11" s="36" t="s">
        <v>399</v>
      </c>
      <c r="D11" s="36"/>
      <c r="E11" s="37">
        <v>113</v>
      </c>
      <c r="F11" s="37" t="s">
        <v>164</v>
      </c>
      <c r="G11" s="38">
        <v>175</v>
      </c>
      <c r="J11" s="33">
        <f t="shared" si="0"/>
      </c>
      <c r="K11" s="33">
        <f>IF(F11="","",INDEX(Portsmouth!$A$1:J$999,MATCH(F11,Portsmouth!$B$1:$B$999,0),3))</f>
        <v>175</v>
      </c>
      <c r="L11" s="73">
        <f t="shared" si="1"/>
        <v>100</v>
      </c>
      <c r="M11" s="74">
        <f>IF(F11="","",INDEX(Portsmouth!$A$1:$J$999,MATCH(F11,Portsmouth!$B$1:$B$999,0),$C$1+5))</f>
        <v>68</v>
      </c>
      <c r="N11" s="75">
        <f>IF(F11="","",IF(H11="",1,INDEX(Adjustment!$A$1:$H$99,MATCH(H11,Adjustment!$B$1:$B$99,0),$C$1+3))*IF(I11="",1,INDEX(Adjustment!$A$1:$H$99,MATCH(I11,Adjustment!$B$1:$B$99,0),$C$1+3))*IF(J11="",1,INDEX(Adjustment!$A$1:$H$99,MATCH(J11,Adjustment!$B$1:$B$99,0),$C$1+3)))</f>
        <v>1</v>
      </c>
      <c r="O11" s="75">
        <f t="shared" si="2"/>
        <v>68</v>
      </c>
      <c r="P11" s="69">
        <v>0</v>
      </c>
      <c r="Q11" s="58">
        <v>31</v>
      </c>
      <c r="R11" s="58">
        <v>26</v>
      </c>
      <c r="S11" s="76">
        <f t="shared" si="3"/>
        <v>31.433333333333334</v>
      </c>
      <c r="T11" s="76">
        <f t="shared" si="4"/>
        <v>46.225490196078425</v>
      </c>
    </row>
    <row r="12" spans="1:20" ht="12.75">
      <c r="A12" s="72">
        <v>12</v>
      </c>
      <c r="B12" s="26">
        <v>10</v>
      </c>
      <c r="C12" s="36" t="s">
        <v>474</v>
      </c>
      <c r="D12" s="43"/>
      <c r="E12" s="44"/>
      <c r="F12" s="45" t="s">
        <v>470</v>
      </c>
      <c r="G12" s="46"/>
      <c r="J12" s="33">
        <f t="shared" si="0"/>
      </c>
      <c r="K12" s="33" t="str">
        <f>IF(F12="","",INDEX(Portsmouth!$A$1:J$999,MATCH(F12,Portsmouth!$B$1:$B$999,0),3))</f>
        <v>nl</v>
      </c>
      <c r="L12" s="73">
        <f t="shared" si="1"/>
        <v>100</v>
      </c>
      <c r="M12" s="74">
        <f>IF(F12="","",INDEX(Portsmouth!$A$1:$J$999,MATCH(F12,Portsmouth!$B$1:$B$999,0),$C$1+5))</f>
        <v>92.7</v>
      </c>
      <c r="N12" s="75">
        <f>IF(F12="","",IF(H12="",1,INDEX(Adjustment!$A$1:$H$99,MATCH(H12,Adjustment!$B$1:$B$99,0),$C$1+3))*IF(I12="",1,INDEX(Adjustment!$A$1:$H$99,MATCH(I12,Adjustment!$B$1:$B$99,0),$C$1+3))*IF(J12="",1,INDEX(Adjustment!$A$1:$H$99,MATCH(J12,Adjustment!$B$1:$B$99,0),$C$1+3)))</f>
        <v>1</v>
      </c>
      <c r="O12" s="75">
        <f t="shared" si="2"/>
        <v>92.7</v>
      </c>
      <c r="P12" s="69">
        <v>0</v>
      </c>
      <c r="Q12" s="58">
        <v>44</v>
      </c>
      <c r="R12" s="58">
        <f>58*2</f>
        <v>116</v>
      </c>
      <c r="S12" s="76">
        <f t="shared" si="3"/>
        <v>45.93333333333333</v>
      </c>
      <c r="T12" s="76">
        <f t="shared" si="4"/>
        <v>49.55052139518158</v>
      </c>
    </row>
    <row r="13" spans="1:20" ht="12.75">
      <c r="A13" s="72">
        <v>3</v>
      </c>
      <c r="B13" s="26">
        <v>11</v>
      </c>
      <c r="C13" s="43" t="s">
        <v>397</v>
      </c>
      <c r="D13" s="43"/>
      <c r="E13" s="44"/>
      <c r="F13" s="45" t="s">
        <v>470</v>
      </c>
      <c r="G13" s="46"/>
      <c r="J13" s="33">
        <f t="shared" si="0"/>
      </c>
      <c r="K13" s="33" t="str">
        <f>IF(F13="","",INDEX(Portsmouth!$A$1:J$999,MATCH(F13,Portsmouth!$B$1:$B$999,0),3))</f>
        <v>nl</v>
      </c>
      <c r="L13" s="73">
        <f t="shared" si="1"/>
        <v>100</v>
      </c>
      <c r="M13" s="74">
        <f>IF(F13="","",INDEX(Portsmouth!$A$1:$J$999,MATCH(F13,Portsmouth!$B$1:$B$999,0),$C$1+5))</f>
        <v>92.7</v>
      </c>
      <c r="N13" s="75">
        <f>IF(F13="","",IF(H13="",1,INDEX(Adjustment!$A$1:$H$99,MATCH(H13,Adjustment!$B$1:$B$99,0),$C$1+3))*IF(I13="",1,INDEX(Adjustment!$A$1:$H$99,MATCH(I13,Adjustment!$B$1:$B$99,0),$C$1+3))*IF(J13="",1,INDEX(Adjustment!$A$1:$H$99,MATCH(J13,Adjustment!$B$1:$B$99,0),$C$1+3)))</f>
        <v>1</v>
      </c>
      <c r="O13" s="75">
        <f t="shared" si="2"/>
        <v>92.7</v>
      </c>
      <c r="P13" s="69">
        <v>0</v>
      </c>
      <c r="Q13" s="58">
        <v>48</v>
      </c>
      <c r="R13" s="58">
        <v>44</v>
      </c>
      <c r="S13" s="76">
        <f t="shared" si="3"/>
        <v>48.733333333333334</v>
      </c>
      <c r="T13" s="76">
        <f t="shared" si="4"/>
        <v>52.57101761956131</v>
      </c>
    </row>
    <row r="14" spans="1:20" ht="12.75">
      <c r="A14" s="72">
        <v>8</v>
      </c>
      <c r="B14" s="26">
        <v>13</v>
      </c>
      <c r="C14" s="33" t="s">
        <v>471</v>
      </c>
      <c r="D14" s="33" t="s">
        <v>472</v>
      </c>
      <c r="E14" s="50">
        <v>348</v>
      </c>
      <c r="F14" s="33" t="s">
        <v>35</v>
      </c>
      <c r="G14" s="33">
        <v>348</v>
      </c>
      <c r="H14" s="33" t="s">
        <v>445</v>
      </c>
      <c r="K14" s="33">
        <f>IF(F14="","",INDEX(Portsmouth!$A$1:J$999,MATCH(F14,Portsmouth!$B$1:$B$999,0),3))</f>
        <v>330</v>
      </c>
      <c r="L14" s="73">
        <f t="shared" si="1"/>
        <v>105.45454545454545</v>
      </c>
      <c r="M14" s="74">
        <f>IF(F14="","",INDEX(Portsmouth!$A$1:$J$999,MATCH(F14,Portsmouth!$B$1:$B$999,0),$C$1+5))</f>
        <v>63.9</v>
      </c>
      <c r="N14" s="75">
        <f>IF(F14="","",IF(H14="",1,INDEX(Adjustment!$A$1:$H$99,MATCH(H14,Adjustment!$B$1:$B$99,0),$C$1+3))*IF(I14="",1,INDEX(Adjustment!$A$1:$H$99,MATCH(I14,Adjustment!$B$1:$B$99,0),$C$1+3))*IF(J14="",1,INDEX(Adjustment!$A$1:$H$99,MATCH(J14,Adjustment!$B$1:$B$99,0),$C$1+3)))</f>
        <v>1.025</v>
      </c>
      <c r="O14" s="75">
        <f t="shared" si="2"/>
        <v>65.49749999999999</v>
      </c>
      <c r="P14" s="69">
        <v>0</v>
      </c>
      <c r="Q14" s="58" t="s">
        <v>475</v>
      </c>
      <c r="S14" s="76">
        <f t="shared" si="3"/>
      </c>
      <c r="T14" s="76">
        <f t="shared" si="4"/>
      </c>
    </row>
    <row r="15" spans="1:7" ht="12.75">
      <c r="A15" s="71"/>
      <c r="B15" s="42"/>
      <c r="C15" s="36"/>
      <c r="D15" s="36"/>
      <c r="E15" s="37"/>
      <c r="F15" s="37"/>
      <c r="G15" s="38"/>
    </row>
    <row r="16" spans="1:7" ht="12.75">
      <c r="A16" s="71"/>
      <c r="B16" s="42"/>
      <c r="C16" s="36"/>
      <c r="D16" s="36"/>
      <c r="E16" s="37"/>
      <c r="F16" s="37"/>
      <c r="G16" s="38"/>
    </row>
    <row r="17" spans="2:7" ht="12.75">
      <c r="B17" s="42"/>
      <c r="C17" s="36"/>
      <c r="D17" s="36"/>
      <c r="E17" s="37"/>
      <c r="F17" s="37"/>
      <c r="G17" s="38"/>
    </row>
    <row r="18" spans="1:7" ht="12.75">
      <c r="A18" s="71"/>
      <c r="B18" s="42"/>
      <c r="C18" s="36"/>
      <c r="D18" s="36"/>
      <c r="E18" s="37"/>
      <c r="F18" s="37"/>
      <c r="G18" s="38"/>
    </row>
    <row r="19" spans="2:7" ht="12.75">
      <c r="B19" s="42"/>
      <c r="C19" s="36"/>
      <c r="D19" s="36"/>
      <c r="E19" s="37"/>
      <c r="F19" s="37"/>
      <c r="G19" s="38"/>
    </row>
    <row r="20" spans="1:7" ht="12.75">
      <c r="A20" s="71"/>
      <c r="B20" s="42"/>
      <c r="C20" s="36"/>
      <c r="D20" s="36"/>
      <c r="E20" s="37"/>
      <c r="F20" s="37"/>
      <c r="G20" s="38"/>
    </row>
    <row r="21" spans="1:7" ht="12.75">
      <c r="A21" s="71"/>
      <c r="B21" s="42"/>
      <c r="C21" s="36"/>
      <c r="D21" s="36"/>
      <c r="E21" s="37"/>
      <c r="F21" s="37"/>
      <c r="G21" s="38"/>
    </row>
    <row r="22" spans="1:7" ht="12.75">
      <c r="A22" s="71"/>
      <c r="B22" s="42"/>
      <c r="C22" s="36"/>
      <c r="D22" s="47"/>
      <c r="E22" s="37"/>
      <c r="F22" s="37"/>
      <c r="G22" s="38"/>
    </row>
    <row r="23" spans="1:7" ht="12.75">
      <c r="A23" s="71"/>
      <c r="B23" s="42"/>
      <c r="C23" s="36"/>
      <c r="D23" s="36"/>
      <c r="E23" s="37"/>
      <c r="F23" s="37"/>
      <c r="G23" s="38"/>
    </row>
    <row r="24" spans="1:7" ht="12.75">
      <c r="A24" s="71"/>
      <c r="B24" s="42"/>
      <c r="C24" s="49"/>
      <c r="D24" s="49"/>
      <c r="E24" s="48"/>
      <c r="F24" s="49"/>
      <c r="G24" s="49"/>
    </row>
    <row r="25" spans="1:7" ht="12.75">
      <c r="A25" s="71"/>
      <c r="B25" s="42"/>
      <c r="C25" s="36"/>
      <c r="D25" s="36"/>
      <c r="E25" s="37"/>
      <c r="F25" s="37"/>
      <c r="G25" s="38"/>
    </row>
    <row r="26" spans="1:5" ht="12.75">
      <c r="A26" s="71"/>
      <c r="B26" s="42"/>
      <c r="E26" s="50"/>
    </row>
    <row r="27" spans="1:7" ht="12.75">
      <c r="A27" s="71"/>
      <c r="B27" s="42"/>
      <c r="C27" s="36"/>
      <c r="D27" s="36"/>
      <c r="E27" s="37"/>
      <c r="F27" s="37"/>
      <c r="G27" s="38"/>
    </row>
    <row r="28" spans="2:7" ht="12.75">
      <c r="B28" s="42"/>
      <c r="C28" s="36"/>
      <c r="D28" s="36"/>
      <c r="E28" s="37"/>
      <c r="F28" s="37"/>
      <c r="G28" s="38"/>
    </row>
    <row r="29" spans="3:7" ht="12.75">
      <c r="C29" s="36"/>
      <c r="D29" s="36"/>
      <c r="E29" s="37"/>
      <c r="F29" s="37"/>
      <c r="G29" s="38"/>
    </row>
    <row r="30" spans="3:7" ht="12.75">
      <c r="C30" s="36"/>
      <c r="D30" s="36"/>
      <c r="E30" s="37"/>
      <c r="F30" s="37"/>
      <c r="G30" s="38"/>
    </row>
    <row r="31" spans="2:7" ht="12.75">
      <c r="B31" s="42"/>
      <c r="C31" s="43"/>
      <c r="D31" s="43"/>
      <c r="E31" s="48"/>
      <c r="F31" s="45"/>
      <c r="G31" s="46"/>
    </row>
    <row r="32" spans="3:7" ht="12.75">
      <c r="C32" s="36"/>
      <c r="D32" s="36"/>
      <c r="E32" s="37"/>
      <c r="F32" s="37"/>
      <c r="G32" s="38"/>
    </row>
    <row r="33" spans="3:7" ht="12.75">
      <c r="C33" s="36"/>
      <c r="D33" s="36"/>
      <c r="E33" s="37"/>
      <c r="F33" s="37"/>
      <c r="G33" s="38"/>
    </row>
    <row r="34" spans="2:7" ht="12.75">
      <c r="B34" s="42"/>
      <c r="C34" s="36"/>
      <c r="D34" s="36"/>
      <c r="E34" s="37"/>
      <c r="F34" s="37"/>
      <c r="G34" s="38"/>
    </row>
    <row r="35" spans="2:7" ht="12.75">
      <c r="B35" s="42"/>
      <c r="C35" s="36"/>
      <c r="D35" s="36"/>
      <c r="E35" s="37"/>
      <c r="F35" s="37"/>
      <c r="G35" s="38"/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5"/>
  <sheetViews>
    <sheetView workbookViewId="0" topLeftCell="A1">
      <pane ySplit="2" topLeftCell="BM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7.28125" style="72" bestFit="1" customWidth="1"/>
    <col min="2" max="2" width="5.421875" style="33" bestFit="1" customWidth="1"/>
    <col min="3" max="3" width="15.140625" style="33" bestFit="1" customWidth="1"/>
    <col min="4" max="4" width="16.00390625" style="33" bestFit="1" customWidth="1"/>
    <col min="5" max="5" width="6.7109375" style="33" bestFit="1" customWidth="1"/>
    <col min="6" max="6" width="6.140625" style="33" bestFit="1" customWidth="1"/>
    <col min="7" max="7" width="4.00390625" style="33" bestFit="1" customWidth="1"/>
    <col min="8" max="8" width="3.57421875" style="33" bestFit="1" customWidth="1"/>
    <col min="9" max="9" width="3.28125" style="33" bestFit="1" customWidth="1"/>
    <col min="10" max="10" width="3.7109375" style="33" bestFit="1" customWidth="1"/>
    <col min="11" max="11" width="3.8515625" style="33" bestFit="1" customWidth="1"/>
    <col min="12" max="12" width="7.7109375" style="39" bestFit="1" customWidth="1"/>
    <col min="13" max="13" width="7.7109375" style="40" bestFit="1" customWidth="1"/>
    <col min="14" max="14" width="6.7109375" style="41" bestFit="1" customWidth="1"/>
    <col min="15" max="15" width="7.7109375" style="41" bestFit="1" customWidth="1"/>
    <col min="16" max="16" width="3.7109375" style="69" bestFit="1" customWidth="1"/>
    <col min="17" max="17" width="3.8515625" style="58" bestFit="1" customWidth="1"/>
    <col min="18" max="18" width="4.00390625" style="58" bestFit="1" customWidth="1"/>
    <col min="19" max="19" width="7.7109375" style="53" bestFit="1" customWidth="1"/>
    <col min="20" max="20" width="9.28125" style="53" bestFit="1" customWidth="1"/>
    <col min="21" max="16384" width="8.7109375" style="33" customWidth="1"/>
  </cols>
  <sheetData>
    <row r="1" spans="1:20" ht="12.75">
      <c r="A1" s="70" t="s">
        <v>447</v>
      </c>
      <c r="B1" s="27"/>
      <c r="C1" s="55">
        <v>3</v>
      </c>
      <c r="D1" s="56" t="s">
        <v>446</v>
      </c>
      <c r="E1" s="28"/>
      <c r="F1" s="29"/>
      <c r="G1" s="29"/>
      <c r="H1" s="77" t="s">
        <v>319</v>
      </c>
      <c r="I1" s="77"/>
      <c r="J1" s="77"/>
      <c r="K1" s="31" t="s">
        <v>320</v>
      </c>
      <c r="L1" s="31" t="s">
        <v>394</v>
      </c>
      <c r="M1" s="79" t="s">
        <v>450</v>
      </c>
      <c r="N1" s="80"/>
      <c r="O1" s="54">
        <v>6</v>
      </c>
      <c r="P1" s="78" t="s">
        <v>448</v>
      </c>
      <c r="Q1" s="78"/>
      <c r="R1" s="78"/>
      <c r="S1" s="78"/>
      <c r="T1" s="78"/>
    </row>
    <row r="2" spans="1:20" ht="12.75">
      <c r="A2" s="70" t="s">
        <v>321</v>
      </c>
      <c r="B2" s="28" t="s">
        <v>409</v>
      </c>
      <c r="C2" s="28" t="s">
        <v>322</v>
      </c>
      <c r="D2" s="28" t="s">
        <v>323</v>
      </c>
      <c r="E2" s="28" t="s">
        <v>324</v>
      </c>
      <c r="F2" s="31" t="s">
        <v>5</v>
      </c>
      <c r="G2" s="31" t="s">
        <v>325</v>
      </c>
      <c r="H2" s="30" t="s">
        <v>326</v>
      </c>
      <c r="I2" s="30" t="s">
        <v>327</v>
      </c>
      <c r="J2" s="30" t="s">
        <v>328</v>
      </c>
      <c r="K2" s="30" t="s">
        <v>328</v>
      </c>
      <c r="L2" s="34" t="s">
        <v>329</v>
      </c>
      <c r="M2" s="35" t="s">
        <v>330</v>
      </c>
      <c r="N2" s="32" t="s">
        <v>331</v>
      </c>
      <c r="O2" s="32" t="s">
        <v>332</v>
      </c>
      <c r="P2" s="68" t="s">
        <v>333</v>
      </c>
      <c r="Q2" s="57" t="s">
        <v>320</v>
      </c>
      <c r="R2" s="57" t="s">
        <v>334</v>
      </c>
      <c r="S2" s="52" t="s">
        <v>335</v>
      </c>
      <c r="T2" s="52" t="s">
        <v>336</v>
      </c>
    </row>
    <row r="3" spans="1:20" ht="12.75">
      <c r="A3" s="71">
        <v>11</v>
      </c>
      <c r="B3" s="26">
        <v>1</v>
      </c>
      <c r="C3" s="36" t="s">
        <v>459</v>
      </c>
      <c r="D3" s="36" t="s">
        <v>460</v>
      </c>
      <c r="E3" s="37">
        <v>2492</v>
      </c>
      <c r="F3" s="37" t="s">
        <v>35</v>
      </c>
      <c r="G3" s="38">
        <v>360</v>
      </c>
      <c r="J3" s="33">
        <f>IF(OR(F3="",K3="nl"),"",IF(L3&lt;70,"L4",IF(L3&lt;80,"L3",IF(L3&lt;90,"L2",IF(L3&lt;100,"L1",IF(L3&gt;130,"H3",IF(L3&gt;120,"H2",IF(L3&gt;110,"H1",""))))))))</f>
      </c>
      <c r="K3" s="33">
        <f>IF(F3="","",INDEX(Portsmouth!$A$1:J$999,MATCH(F3,Portsmouth!$B$1:$B$999,0),3))</f>
        <v>330</v>
      </c>
      <c r="L3" s="39">
        <f aca="true" t="shared" si="0" ref="L3:L14">IF(F3="","",IF(K3="nl",100,100*G3/K3))</f>
        <v>109.0909090909091</v>
      </c>
      <c r="M3" s="40">
        <f>IF(F3="","",INDEX(Portsmouth!$A$1:$J$999,MATCH(F3,Portsmouth!$B$1:$B$999,0),$C$1+5))</f>
        <v>63.9</v>
      </c>
      <c r="N3" s="41">
        <f>IF(F3="","",IF(H3="",1,INDEX(Adjustment!$A$1:$H$99,MATCH(H3,Adjustment!$B$1:$B$99,0),$C$1+3))*IF(I3="",1,INDEX(Adjustment!$A$1:$H$99,MATCH(I3,Adjustment!$B$1:$B$99,0),$C$1+3))*IF(J3="",1,INDEX(Adjustment!$A$1:$H$99,MATCH(J3,Adjustment!$B$1:$B$99,0),$C$1+3)))</f>
        <v>1</v>
      </c>
      <c r="O3" s="41">
        <f aca="true" t="shared" si="1" ref="O3:O14">IF(F3="","",M3*N3)</f>
        <v>63.9</v>
      </c>
      <c r="P3" s="69">
        <v>0</v>
      </c>
      <c r="Q3" s="58">
        <v>28</v>
      </c>
      <c r="R3" s="58">
        <v>20</v>
      </c>
      <c r="S3" s="53">
        <f aca="true" t="shared" si="2" ref="S3:S14">IF(R3="","",IF(TYPE(R3)=2,R3,(P3*60+Q3+(R3/60))))</f>
        <v>28.333333333333332</v>
      </c>
      <c r="T3" s="53">
        <f aca="true" t="shared" si="3" ref="T3:T14">IF(S3="","",IF(TYPE(R3)=2,S3,S3/(O3*0.01)))</f>
        <v>44.34011476264997</v>
      </c>
    </row>
    <row r="4" spans="1:20" ht="12.75">
      <c r="A4" s="72">
        <v>2</v>
      </c>
      <c r="B4" s="26">
        <v>2</v>
      </c>
      <c r="C4" s="36" t="s">
        <v>400</v>
      </c>
      <c r="D4" s="36"/>
      <c r="E4" s="37">
        <v>723</v>
      </c>
      <c r="F4" s="37" t="s">
        <v>164</v>
      </c>
      <c r="G4" s="38">
        <v>175</v>
      </c>
      <c r="J4" s="33">
        <f aca="true" t="shared" si="4" ref="J4:J12">IF(OR(F4="",K4="nl"),"",IF(L4&lt;70,"L4",IF(L4&lt;80,"L3",IF(L4&lt;90,"L2",IF(L4&lt;100,"L1",IF(L4&gt;130,"H3",IF(L4&gt;120,"H2",IF(L4&gt;110,"H1",""))))))))</f>
      </c>
      <c r="K4" s="33">
        <f>IF(F4="","",INDEX(Portsmouth!$A$1:J$999,MATCH(F4,Portsmouth!$B$1:$B$999,0),3))</f>
        <v>175</v>
      </c>
      <c r="L4" s="39">
        <f t="shared" si="0"/>
        <v>100</v>
      </c>
      <c r="M4" s="40">
        <f>IF(F4="","",INDEX(Portsmouth!$A$1:$J$999,MATCH(F4,Portsmouth!$B$1:$B$999,0),$C$1+5))</f>
        <v>68</v>
      </c>
      <c r="N4" s="41">
        <f>IF(F4="","",IF(H4="",1,INDEX(Adjustment!$A$1:$H$99,MATCH(H4,Adjustment!$B$1:$B$99,0),$C$1+3))*IF(I4="",1,INDEX(Adjustment!$A$1:$H$99,MATCH(I4,Adjustment!$B$1:$B$99,0),$C$1+3))*IF(J4="",1,INDEX(Adjustment!$A$1:$H$99,MATCH(J4,Adjustment!$B$1:$B$99,0),$C$1+3)))</f>
        <v>1</v>
      </c>
      <c r="O4" s="41">
        <f t="shared" si="1"/>
        <v>68</v>
      </c>
      <c r="P4" s="69">
        <v>0</v>
      </c>
      <c r="Q4" s="58">
        <v>31</v>
      </c>
      <c r="R4" s="58">
        <v>17</v>
      </c>
      <c r="S4" s="53">
        <f t="shared" si="2"/>
        <v>31.283333333333335</v>
      </c>
      <c r="T4" s="53">
        <f t="shared" si="3"/>
        <v>46.004901960784316</v>
      </c>
    </row>
    <row r="5" spans="1:20" ht="12.75">
      <c r="A5" s="72">
        <v>5</v>
      </c>
      <c r="B5" s="26">
        <v>3</v>
      </c>
      <c r="C5" s="36" t="s">
        <v>398</v>
      </c>
      <c r="D5" s="36"/>
      <c r="E5" s="37">
        <v>6661</v>
      </c>
      <c r="F5" s="37" t="s">
        <v>83</v>
      </c>
      <c r="G5" s="38">
        <v>200</v>
      </c>
      <c r="J5" s="33" t="str">
        <f t="shared" si="4"/>
        <v>H2</v>
      </c>
      <c r="K5" s="33">
        <f>IF(F5="","",INDEX(Portsmouth!$A$1:J$999,MATCH(F5,Portsmouth!$B$1:$B$999,0),3))</f>
        <v>160</v>
      </c>
      <c r="L5" s="39">
        <f t="shared" si="0"/>
        <v>125</v>
      </c>
      <c r="M5" s="40">
        <f>IF(F5="","",INDEX(Portsmouth!$A$1:$J$999,MATCH(F5,Portsmouth!$B$1:$B$999,0),$C$1+5))</f>
        <v>76.2</v>
      </c>
      <c r="N5" s="41">
        <f>IF(F5="","",IF(H5="",1,INDEX(Adjustment!$A$1:$H$99,MATCH(H5,Adjustment!$B$1:$B$99,0),$C$1+3))*IF(I5="",1,INDEX(Adjustment!$A$1:$H$99,MATCH(I5,Adjustment!$B$1:$B$99,0),$C$1+3))*IF(J5="",1,INDEX(Adjustment!$A$1:$H$99,MATCH(J5,Adjustment!$B$1:$B$99,0),$C$1+3)))</f>
        <v>1.013</v>
      </c>
      <c r="O5" s="41">
        <f t="shared" si="1"/>
        <v>77.19059999999999</v>
      </c>
      <c r="P5" s="69">
        <v>0</v>
      </c>
      <c r="Q5" s="58">
        <v>35</v>
      </c>
      <c r="R5" s="58">
        <v>40</v>
      </c>
      <c r="S5" s="53">
        <f t="shared" si="2"/>
        <v>35.666666666666664</v>
      </c>
      <c r="T5" s="53">
        <f t="shared" si="3"/>
        <v>46.205971538848864</v>
      </c>
    </row>
    <row r="6" spans="1:20" ht="12.75">
      <c r="A6" s="71">
        <v>9</v>
      </c>
      <c r="B6" s="26">
        <v>4</v>
      </c>
      <c r="C6" s="33" t="s">
        <v>458</v>
      </c>
      <c r="D6" s="36" t="s">
        <v>457</v>
      </c>
      <c r="E6" s="37">
        <v>1001</v>
      </c>
      <c r="F6" s="37" t="s">
        <v>170</v>
      </c>
      <c r="G6" s="38">
        <v>420</v>
      </c>
      <c r="J6" s="33" t="str">
        <f>IF(OR(F6="",K6="nl"),"",IF(L6&lt;70,"L4",IF(L6&lt;80,"L3",IF(L6&lt;90,"L2",IF(L6&lt;100,"L1",IF(L6&gt;130,"H3",IF(L6&gt;120,"H2",IF(L6&gt;110,"H1",""))))))))</f>
        <v>H2</v>
      </c>
      <c r="K6" s="33">
        <f>IF(F6="","",INDEX(Portsmouth!$A$1:J$999,MATCH(F6,Portsmouth!$B$1:$B$999,0),3))</f>
        <v>325</v>
      </c>
      <c r="L6" s="39">
        <f t="shared" si="0"/>
        <v>129.23076923076923</v>
      </c>
      <c r="M6" s="40">
        <f>IF(F6="","",INDEX(Portsmouth!$A$1:$J$999,MATCH(F6,Portsmouth!$B$1:$B$999,0),$C$1+5))</f>
        <v>60.2</v>
      </c>
      <c r="N6" s="41">
        <f>IF(F6="","",IF(H6="",1,INDEX(Adjustment!$A$1:$H$99,MATCH(H6,Adjustment!$B$1:$B$99,0),$C$1+3))*IF(I6="",1,INDEX(Adjustment!$A$1:$H$99,MATCH(I6,Adjustment!$B$1:$B$99,0),$C$1+3))*IF(J6="",1,INDEX(Adjustment!$A$1:$H$99,MATCH(J6,Adjustment!$B$1:$B$99,0),$C$1+3)))</f>
        <v>1.013</v>
      </c>
      <c r="O6" s="41">
        <f t="shared" si="1"/>
        <v>60.9826</v>
      </c>
      <c r="P6" s="69">
        <v>0</v>
      </c>
      <c r="Q6" s="58">
        <v>28</v>
      </c>
      <c r="R6" s="58">
        <v>28</v>
      </c>
      <c r="S6" s="53">
        <f t="shared" si="2"/>
        <v>28.466666666666665</v>
      </c>
      <c r="T6" s="53">
        <f t="shared" si="3"/>
        <v>46.67998194020371</v>
      </c>
    </row>
    <row r="7" spans="1:20" ht="12.75">
      <c r="A7" s="72">
        <v>6</v>
      </c>
      <c r="B7" s="26">
        <v>5</v>
      </c>
      <c r="C7" s="36" t="s">
        <v>453</v>
      </c>
      <c r="D7" s="36"/>
      <c r="E7" s="37">
        <v>127</v>
      </c>
      <c r="F7" s="37" t="s">
        <v>164</v>
      </c>
      <c r="G7" s="38">
        <v>166</v>
      </c>
      <c r="J7" s="33" t="str">
        <f t="shared" si="4"/>
        <v>L1</v>
      </c>
      <c r="K7" s="33">
        <f>IF(F7="","",INDEX(Portsmouth!$A$1:J$999,MATCH(F7,Portsmouth!$B$1:$B$999,0),3))</f>
        <v>175</v>
      </c>
      <c r="L7" s="39">
        <f t="shared" si="0"/>
        <v>94.85714285714286</v>
      </c>
      <c r="M7" s="40">
        <f>IF(F7="","",INDEX(Portsmouth!$A$1:$J$999,MATCH(F7,Portsmouth!$B$1:$B$999,0),$C$1+5))</f>
        <v>68</v>
      </c>
      <c r="N7" s="41">
        <f>IF(F7="","",IF(H7="",1,INDEX(Adjustment!$A$1:$H$99,MATCH(H7,Adjustment!$B$1:$B$99,0),$C$1+3))*IF(I7="",1,INDEX(Adjustment!$A$1:$H$99,MATCH(I7,Adjustment!$B$1:$B$99,0),$C$1+3))*IF(J7="",1,INDEX(Adjustment!$A$1:$H$99,MATCH(J7,Adjustment!$B$1:$B$99,0),$C$1+3)))</f>
        <v>0.991</v>
      </c>
      <c r="O7" s="41">
        <f t="shared" si="1"/>
        <v>67.388</v>
      </c>
      <c r="P7" s="69">
        <v>0</v>
      </c>
      <c r="Q7" s="58">
        <v>31</v>
      </c>
      <c r="R7" s="58">
        <v>56</v>
      </c>
      <c r="S7" s="53">
        <f t="shared" si="2"/>
        <v>31.933333333333334</v>
      </c>
      <c r="T7" s="53">
        <f t="shared" si="3"/>
        <v>47.38726974139807</v>
      </c>
    </row>
    <row r="8" spans="1:20" ht="12.75">
      <c r="A8" s="71">
        <v>1</v>
      </c>
      <c r="B8" s="26">
        <v>6</v>
      </c>
      <c r="C8" s="47" t="s">
        <v>456</v>
      </c>
      <c r="D8" s="47"/>
      <c r="E8" s="48">
        <v>65915</v>
      </c>
      <c r="F8" s="37" t="s">
        <v>81</v>
      </c>
      <c r="G8" s="38">
        <v>220</v>
      </c>
      <c r="J8" s="33" t="str">
        <f t="shared" si="4"/>
        <v>L3</v>
      </c>
      <c r="K8" s="33">
        <f>IF(F8="","",INDEX(Portsmouth!$A$1:J$999,MATCH(F8,Portsmouth!$B$1:$B$999,0),3))</f>
        <v>285</v>
      </c>
      <c r="L8" s="39">
        <f t="shared" si="0"/>
        <v>77.19298245614036</v>
      </c>
      <c r="M8" s="40">
        <f>IF(F8="","",INDEX(Portsmouth!$A$1:$J$999,MATCH(F8,Portsmouth!$B$1:$B$999,0),$C$1+5))</f>
        <v>78.7</v>
      </c>
      <c r="N8" s="41">
        <f>IF(F8="","",IF(H8="",1,INDEX(Adjustment!$A$1:$H$99,MATCH(H8,Adjustment!$B$1:$B$99,0),$C$1+3))*IF(I8="",1,INDEX(Adjustment!$A$1:$H$99,MATCH(I8,Adjustment!$B$1:$B$99,0),$C$1+3))*IF(J8="",1,INDEX(Adjustment!$A$1:$H$99,MATCH(J8,Adjustment!$B$1:$B$99,0),$C$1+3)))</f>
        <v>0.974</v>
      </c>
      <c r="O8" s="41">
        <f t="shared" si="1"/>
        <v>76.6538</v>
      </c>
      <c r="P8" s="69">
        <v>0</v>
      </c>
      <c r="Q8" s="58">
        <v>36</v>
      </c>
      <c r="R8" s="58">
        <v>47</v>
      </c>
      <c r="S8" s="53">
        <f t="shared" si="2"/>
        <v>36.78333333333333</v>
      </c>
      <c r="T8" s="53">
        <f t="shared" si="3"/>
        <v>47.986314224909044</v>
      </c>
    </row>
    <row r="9" spans="1:20" ht="12.75">
      <c r="A9" s="72">
        <v>7</v>
      </c>
      <c r="B9" s="26">
        <v>7</v>
      </c>
      <c r="C9" s="36" t="s">
        <v>462</v>
      </c>
      <c r="D9" s="36" t="s">
        <v>401</v>
      </c>
      <c r="E9" s="37">
        <v>927</v>
      </c>
      <c r="F9" s="37" t="s">
        <v>170</v>
      </c>
      <c r="G9" s="38">
        <v>360</v>
      </c>
      <c r="J9" s="33" t="str">
        <f t="shared" si="4"/>
        <v>H1</v>
      </c>
      <c r="K9" s="33">
        <f>IF(F9="","",INDEX(Portsmouth!$A$1:J$999,MATCH(F9,Portsmouth!$B$1:$B$999,0),3))</f>
        <v>325</v>
      </c>
      <c r="L9" s="39">
        <f t="shared" si="0"/>
        <v>110.76923076923077</v>
      </c>
      <c r="M9" s="40">
        <f>IF(F9="","",INDEX(Portsmouth!$A$1:$J$999,MATCH(F9,Portsmouth!$B$1:$B$999,0),$C$1+5))</f>
        <v>60.2</v>
      </c>
      <c r="N9" s="41">
        <f>IF(F9="","",IF(H9="",1,INDEX(Adjustment!$A$1:$H$99,MATCH(H9,Adjustment!$B$1:$B$99,0),$C$1+3))*IF(I9="",1,INDEX(Adjustment!$A$1:$H$99,MATCH(I9,Adjustment!$B$1:$B$99,0),$C$1+3))*IF(J9="",1,INDEX(Adjustment!$A$1:$H$99,MATCH(J9,Adjustment!$B$1:$B$99,0),$C$1+3)))</f>
        <v>1.007</v>
      </c>
      <c r="O9" s="41">
        <f t="shared" si="1"/>
        <v>60.621399999999994</v>
      </c>
      <c r="P9" s="69">
        <v>0</v>
      </c>
      <c r="Q9" s="58">
        <v>29</v>
      </c>
      <c r="R9" s="58">
        <v>13</v>
      </c>
      <c r="S9" s="53">
        <f t="shared" si="2"/>
        <v>29.216666666666665</v>
      </c>
      <c r="T9" s="53">
        <f t="shared" si="3"/>
        <v>48.19530176912224</v>
      </c>
    </row>
    <row r="10" spans="1:20" ht="12.75">
      <c r="A10" s="72">
        <v>4</v>
      </c>
      <c r="B10" s="26">
        <v>8</v>
      </c>
      <c r="C10" s="36" t="s">
        <v>399</v>
      </c>
      <c r="D10" s="36"/>
      <c r="E10" s="37">
        <v>113</v>
      </c>
      <c r="F10" s="37" t="s">
        <v>164</v>
      </c>
      <c r="G10" s="38">
        <v>175</v>
      </c>
      <c r="J10" s="33">
        <f t="shared" si="4"/>
      </c>
      <c r="K10" s="33">
        <f>IF(F10="","",INDEX(Portsmouth!$A$1:J$999,MATCH(F10,Portsmouth!$B$1:$B$999,0),3))</f>
        <v>175</v>
      </c>
      <c r="L10" s="39">
        <f t="shared" si="0"/>
        <v>100</v>
      </c>
      <c r="M10" s="40">
        <f>IF(F10="","",INDEX(Portsmouth!$A$1:$J$999,MATCH(F10,Portsmouth!$B$1:$B$999,0),$C$1+5))</f>
        <v>68</v>
      </c>
      <c r="N10" s="41">
        <f>IF(F10="","",IF(H10="",1,INDEX(Adjustment!$A$1:$H$99,MATCH(H10,Adjustment!$B$1:$B$99,0),$C$1+3))*IF(I10="",1,INDEX(Adjustment!$A$1:$H$99,MATCH(I10,Adjustment!$B$1:$B$99,0),$C$1+3))*IF(J10="",1,INDEX(Adjustment!$A$1:$H$99,MATCH(J10,Adjustment!$B$1:$B$99,0),$C$1+3)))</f>
        <v>1</v>
      </c>
      <c r="O10" s="41">
        <f t="shared" si="1"/>
        <v>68</v>
      </c>
      <c r="P10" s="69">
        <v>0</v>
      </c>
      <c r="Q10" s="58">
        <v>34</v>
      </c>
      <c r="R10" s="58">
        <v>30</v>
      </c>
      <c r="S10" s="53">
        <f t="shared" si="2"/>
        <v>34.5</v>
      </c>
      <c r="T10" s="53">
        <f t="shared" si="3"/>
        <v>50.73529411764706</v>
      </c>
    </row>
    <row r="11" spans="1:20" ht="12.75">
      <c r="A11" s="72">
        <v>12</v>
      </c>
      <c r="B11" s="26">
        <v>9</v>
      </c>
      <c r="C11" s="36" t="s">
        <v>474</v>
      </c>
      <c r="D11" s="43"/>
      <c r="E11" s="44"/>
      <c r="F11" s="45" t="s">
        <v>470</v>
      </c>
      <c r="G11" s="46"/>
      <c r="J11" s="33">
        <f>IF(OR(F11="",K11="nl"),"",IF(L11&lt;70,"L4",IF(L11&lt;80,"L3",IF(L11&lt;90,"L2",IF(L11&lt;100,"L1",IF(L11&gt;130,"H3",IF(L11&gt;120,"H2",IF(L11&gt;110,"H1",""))))))))</f>
      </c>
      <c r="K11" s="33" t="str">
        <f>IF(F11="","",INDEX(Portsmouth!$A$1:J$999,MATCH(F11,Portsmouth!$B$1:$B$999,0),3))</f>
        <v>nl</v>
      </c>
      <c r="L11" s="39">
        <f t="shared" si="0"/>
        <v>100</v>
      </c>
      <c r="M11" s="40">
        <f>IF(F11="","",INDEX(Portsmouth!$A$1:$J$999,MATCH(F11,Portsmouth!$B$1:$B$999,0),$C$1+5))</f>
        <v>92.7</v>
      </c>
      <c r="N11" s="41">
        <f>IF(F11="","",IF(H11="",1,INDEX(Adjustment!$A$1:$H$99,MATCH(H11,Adjustment!$B$1:$B$99,0),$C$1+3))*IF(I11="",1,INDEX(Adjustment!$A$1:$H$99,MATCH(I11,Adjustment!$B$1:$B$99,0),$C$1+3))*IF(J11="",1,INDEX(Adjustment!$A$1:$H$99,MATCH(J11,Adjustment!$B$1:$B$99,0),$C$1+3)))</f>
        <v>1</v>
      </c>
      <c r="O11" s="41">
        <f t="shared" si="1"/>
        <v>92.7</v>
      </c>
      <c r="P11" s="69">
        <v>0</v>
      </c>
      <c r="Q11" s="58">
        <f>25*2</f>
        <v>50</v>
      </c>
      <c r="R11" s="58">
        <f>29*2</f>
        <v>58</v>
      </c>
      <c r="S11" s="53">
        <f t="shared" si="2"/>
        <v>50.96666666666667</v>
      </c>
      <c r="T11" s="53">
        <f t="shared" si="3"/>
        <v>54.980222941387986</v>
      </c>
    </row>
    <row r="12" spans="1:20" ht="12.75">
      <c r="A12" s="72">
        <v>3</v>
      </c>
      <c r="B12" s="26">
        <v>10</v>
      </c>
      <c r="C12" s="43" t="s">
        <v>397</v>
      </c>
      <c r="D12" s="43"/>
      <c r="E12" s="44"/>
      <c r="F12" s="45" t="s">
        <v>470</v>
      </c>
      <c r="G12" s="46"/>
      <c r="J12" s="33">
        <f t="shared" si="4"/>
      </c>
      <c r="K12" s="33" t="str">
        <f>IF(F12="","",INDEX(Portsmouth!$A$1:J$999,MATCH(F12,Portsmouth!$B$1:$B$999,0),3))</f>
        <v>nl</v>
      </c>
      <c r="L12" s="39">
        <f t="shared" si="0"/>
        <v>100</v>
      </c>
      <c r="M12" s="40">
        <f>IF(F12="","",INDEX(Portsmouth!$A$1:$J$999,MATCH(F12,Portsmouth!$B$1:$B$999,0),$C$1+5))</f>
        <v>92.7</v>
      </c>
      <c r="N12" s="41">
        <f>IF(F12="","",IF(H12="",1,INDEX(Adjustment!$A$1:$H$99,MATCH(H12,Adjustment!$B$1:$B$99,0),$C$1+3))*IF(I12="",1,INDEX(Adjustment!$A$1:$H$99,MATCH(I12,Adjustment!$B$1:$B$99,0),$C$1+3))*IF(J12="",1,INDEX(Adjustment!$A$1:$H$99,MATCH(J12,Adjustment!$B$1:$B$99,0),$C$1+3)))</f>
        <v>1</v>
      </c>
      <c r="O12" s="41">
        <f t="shared" si="1"/>
        <v>92.7</v>
      </c>
      <c r="P12" s="69">
        <v>0</v>
      </c>
      <c r="Q12" s="58">
        <v>50</v>
      </c>
      <c r="R12" s="58">
        <f>39*2</f>
        <v>78</v>
      </c>
      <c r="S12" s="53">
        <f t="shared" si="2"/>
        <v>51.3</v>
      </c>
      <c r="T12" s="53">
        <f t="shared" si="3"/>
        <v>55.33980582524271</v>
      </c>
    </row>
    <row r="13" spans="1:20" ht="12.75">
      <c r="A13" s="72">
        <v>8</v>
      </c>
      <c r="B13" s="26">
        <v>13</v>
      </c>
      <c r="C13" s="33" t="s">
        <v>471</v>
      </c>
      <c r="D13" s="33" t="s">
        <v>472</v>
      </c>
      <c r="E13" s="50">
        <v>348</v>
      </c>
      <c r="F13" s="33" t="s">
        <v>35</v>
      </c>
      <c r="G13" s="33">
        <v>348</v>
      </c>
      <c r="H13" s="33" t="s">
        <v>445</v>
      </c>
      <c r="K13" s="33">
        <f>IF(F13="","",INDEX(Portsmouth!$A$1:J$999,MATCH(F13,Portsmouth!$B$1:$B$999,0),3))</f>
        <v>330</v>
      </c>
      <c r="L13" s="39">
        <f t="shared" si="0"/>
        <v>105.45454545454545</v>
      </c>
      <c r="M13" s="40">
        <f>IF(F13="","",INDEX(Portsmouth!$A$1:$J$999,MATCH(F13,Portsmouth!$B$1:$B$999,0),$C$1+5))</f>
        <v>63.9</v>
      </c>
      <c r="N13" s="41">
        <f>IF(F13="","",IF(H13="",1,INDEX(Adjustment!$A$1:$H$99,MATCH(H13,Adjustment!$B$1:$B$99,0),$C$1+3))*IF(I13="",1,INDEX(Adjustment!$A$1:$H$99,MATCH(I13,Adjustment!$B$1:$B$99,0),$C$1+3))*IF(J13="",1,INDEX(Adjustment!$A$1:$H$99,MATCH(J13,Adjustment!$B$1:$B$99,0),$C$1+3)))</f>
        <v>1.025</v>
      </c>
      <c r="O13" s="41">
        <f t="shared" si="1"/>
        <v>65.49749999999999</v>
      </c>
      <c r="P13" s="69">
        <v>0</v>
      </c>
      <c r="Q13" s="58" t="s">
        <v>475</v>
      </c>
      <c r="S13" s="53">
        <f t="shared" si="2"/>
      </c>
      <c r="T13" s="53">
        <f t="shared" si="3"/>
      </c>
    </row>
    <row r="14" spans="1:20" ht="12.75">
      <c r="A14" s="71">
        <v>10</v>
      </c>
      <c r="B14" s="26">
        <v>13</v>
      </c>
      <c r="C14" s="36" t="s">
        <v>473</v>
      </c>
      <c r="D14" s="36" t="s">
        <v>461</v>
      </c>
      <c r="E14" s="37">
        <v>7</v>
      </c>
      <c r="F14" s="37" t="s">
        <v>81</v>
      </c>
      <c r="G14" s="38">
        <v>385</v>
      </c>
      <c r="J14" s="33" t="str">
        <f>IF(OR(F14="",K14="nl"),"",IF(L14&lt;70,"L4",IF(L14&lt;80,"L3",IF(L14&lt;90,"L2",IF(L14&lt;100,"L1",IF(L14&gt;130,"H3",IF(L14&gt;120,"H2",IF(L14&gt;110,"H1",""))))))))</f>
        <v>H3</v>
      </c>
      <c r="K14" s="33">
        <f>IF(F14="","",INDEX(Portsmouth!$A$1:J$999,MATCH(F14,Portsmouth!$B$1:$B$999,0),3))</f>
        <v>285</v>
      </c>
      <c r="L14" s="39">
        <f t="shared" si="0"/>
        <v>135.08771929824562</v>
      </c>
      <c r="M14" s="40">
        <f>IF(F14="","",INDEX(Portsmouth!$A$1:$J$999,MATCH(F14,Portsmouth!$B$1:$B$999,0),$C$1+5))</f>
        <v>78.7</v>
      </c>
      <c r="N14" s="41">
        <f>IF(F14="","",IF(H14="",1,INDEX(Adjustment!$A$1:$H$99,MATCH(H14,Adjustment!$B$1:$B$99,0),$C$1+3))*IF(I14="",1,INDEX(Adjustment!$A$1:$H$99,MATCH(I14,Adjustment!$B$1:$B$99,0),$C$1+3))*IF(J14="",1,INDEX(Adjustment!$A$1:$H$99,MATCH(J14,Adjustment!$B$1:$B$99,0),$C$1+3)))</f>
        <v>1.02</v>
      </c>
      <c r="O14" s="41">
        <f t="shared" si="1"/>
        <v>80.274</v>
      </c>
      <c r="P14" s="69">
        <v>0</v>
      </c>
      <c r="Q14" s="58" t="s">
        <v>476</v>
      </c>
      <c r="S14" s="53">
        <f t="shared" si="2"/>
      </c>
      <c r="T14" s="53">
        <f t="shared" si="3"/>
      </c>
    </row>
    <row r="15" spans="1:7" ht="12.75">
      <c r="A15" s="71"/>
      <c r="B15" s="42"/>
      <c r="C15" s="36"/>
      <c r="D15" s="36"/>
      <c r="E15" s="37"/>
      <c r="F15" s="37"/>
      <c r="G15" s="38"/>
    </row>
    <row r="16" spans="1:7" ht="12.75">
      <c r="A16" s="71"/>
      <c r="B16" s="42"/>
      <c r="C16" s="36"/>
      <c r="D16" s="36"/>
      <c r="E16" s="37"/>
      <c r="F16" s="37"/>
      <c r="G16" s="38"/>
    </row>
    <row r="17" spans="2:7" ht="12.75">
      <c r="B17" s="42"/>
      <c r="C17" s="36"/>
      <c r="D17" s="36"/>
      <c r="E17" s="37"/>
      <c r="F17" s="37"/>
      <c r="G17" s="38"/>
    </row>
    <row r="18" spans="1:7" ht="12.75">
      <c r="A18" s="71"/>
      <c r="B18" s="42"/>
      <c r="C18" s="36"/>
      <c r="D18" s="36"/>
      <c r="E18" s="37"/>
      <c r="F18" s="37"/>
      <c r="G18" s="38"/>
    </row>
    <row r="19" spans="2:7" ht="12.75">
      <c r="B19" s="42"/>
      <c r="C19" s="36"/>
      <c r="D19" s="36"/>
      <c r="E19" s="37"/>
      <c r="F19" s="37"/>
      <c r="G19" s="38"/>
    </row>
    <row r="20" spans="1:7" ht="12.75">
      <c r="A20" s="71"/>
      <c r="B20" s="42"/>
      <c r="C20" s="36"/>
      <c r="D20" s="36"/>
      <c r="E20" s="37"/>
      <c r="F20" s="37"/>
      <c r="G20" s="38"/>
    </row>
    <row r="21" spans="1:7" ht="12.75">
      <c r="A21" s="71"/>
      <c r="B21" s="42"/>
      <c r="C21" s="36"/>
      <c r="D21" s="36"/>
      <c r="E21" s="37"/>
      <c r="F21" s="37"/>
      <c r="G21" s="38"/>
    </row>
    <row r="22" spans="1:7" ht="12.75">
      <c r="A22" s="71"/>
      <c r="B22" s="42"/>
      <c r="C22" s="36"/>
      <c r="D22" s="47"/>
      <c r="E22" s="37"/>
      <c r="F22" s="37"/>
      <c r="G22" s="38"/>
    </row>
    <row r="23" spans="1:7" ht="12.75">
      <c r="A23" s="71"/>
      <c r="B23" s="42"/>
      <c r="C23" s="36"/>
      <c r="D23" s="36"/>
      <c r="E23" s="37"/>
      <c r="F23" s="37"/>
      <c r="G23" s="38"/>
    </row>
    <row r="24" spans="1:7" ht="12.75">
      <c r="A24" s="71"/>
      <c r="B24" s="42"/>
      <c r="C24" s="49"/>
      <c r="D24" s="49"/>
      <c r="E24" s="48"/>
      <c r="F24" s="49"/>
      <c r="G24" s="49"/>
    </row>
    <row r="25" spans="1:7" ht="12.75">
      <c r="A25" s="71"/>
      <c r="B25" s="42"/>
      <c r="C25" s="36"/>
      <c r="D25" s="36"/>
      <c r="E25" s="37"/>
      <c r="F25" s="37"/>
      <c r="G25" s="38"/>
    </row>
    <row r="26" spans="1:5" ht="12.75">
      <c r="A26" s="71"/>
      <c r="B26" s="42"/>
      <c r="E26" s="50"/>
    </row>
    <row r="27" spans="1:7" ht="12.75">
      <c r="A27" s="71"/>
      <c r="B27" s="42"/>
      <c r="C27" s="36"/>
      <c r="D27" s="36"/>
      <c r="E27" s="37"/>
      <c r="F27" s="37"/>
      <c r="G27" s="38"/>
    </row>
    <row r="28" spans="2:7" ht="12.75">
      <c r="B28" s="42"/>
      <c r="C28" s="36"/>
      <c r="D28" s="36"/>
      <c r="E28" s="37"/>
      <c r="F28" s="37"/>
      <c r="G28" s="38"/>
    </row>
    <row r="29" spans="3:7" ht="12.75">
      <c r="C29" s="36"/>
      <c r="D29" s="36"/>
      <c r="E29" s="37"/>
      <c r="F29" s="37"/>
      <c r="G29" s="38"/>
    </row>
    <row r="30" spans="3:7" ht="12.75">
      <c r="C30" s="36"/>
      <c r="D30" s="36"/>
      <c r="E30" s="37"/>
      <c r="F30" s="37"/>
      <c r="G30" s="38"/>
    </row>
    <row r="31" spans="2:7" ht="12.75">
      <c r="B31" s="42"/>
      <c r="C31" s="43"/>
      <c r="D31" s="43"/>
      <c r="E31" s="48"/>
      <c r="F31" s="45"/>
      <c r="G31" s="46"/>
    </row>
    <row r="32" spans="3:7" ht="12.75">
      <c r="C32" s="36"/>
      <c r="D32" s="36"/>
      <c r="E32" s="37"/>
      <c r="F32" s="37"/>
      <c r="G32" s="38"/>
    </row>
    <row r="33" spans="3:7" ht="12.75">
      <c r="C33" s="36"/>
      <c r="D33" s="36"/>
      <c r="E33" s="37"/>
      <c r="F33" s="37"/>
      <c r="G33" s="38"/>
    </row>
    <row r="34" spans="2:7" ht="12.75">
      <c r="B34" s="42"/>
      <c r="C34" s="36"/>
      <c r="D34" s="36"/>
      <c r="E34" s="37"/>
      <c r="F34" s="37"/>
      <c r="G34" s="38"/>
    </row>
    <row r="35" spans="2:7" ht="12.75">
      <c r="B35" s="42"/>
      <c r="C35" s="36"/>
      <c r="D35" s="36"/>
      <c r="E35" s="37"/>
      <c r="F35" s="37"/>
      <c r="G35" s="38"/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 topLeftCell="A1">
      <selection activeCell="M12" sqref="M12"/>
    </sheetView>
  </sheetViews>
  <sheetFormatPr defaultColWidth="9.140625" defaultRowHeight="12.75"/>
  <cols>
    <col min="1" max="1" width="7.28125" style="33" bestFit="1" customWidth="1"/>
    <col min="2" max="2" width="5.421875" style="33" bestFit="1" customWidth="1"/>
    <col min="3" max="3" width="14.00390625" style="33" bestFit="1" customWidth="1"/>
    <col min="4" max="4" width="12.7109375" style="33" bestFit="1" customWidth="1"/>
    <col min="5" max="5" width="5.7109375" style="33" bestFit="1" customWidth="1"/>
    <col min="6" max="6" width="6.140625" style="33" bestFit="1" customWidth="1"/>
    <col min="7" max="10" width="6.7109375" style="33" bestFit="1" customWidth="1"/>
    <col min="11" max="11" width="6.28125" style="33" bestFit="1" customWidth="1"/>
    <col min="12" max="12" width="5.28125" style="59" bestFit="1" customWidth="1"/>
    <col min="13" max="13" width="4.28125" style="59" bestFit="1" customWidth="1"/>
    <col min="14" max="16384" width="8.7109375" style="33" customWidth="1"/>
  </cols>
  <sheetData>
    <row r="1" spans="1:13" ht="12.75">
      <c r="A1" s="28" t="s">
        <v>447</v>
      </c>
      <c r="B1" s="81" t="s">
        <v>408</v>
      </c>
      <c r="C1" s="81"/>
      <c r="D1" s="81"/>
      <c r="E1" s="81"/>
      <c r="F1" s="81"/>
      <c r="G1" s="81"/>
      <c r="H1" s="81"/>
      <c r="I1" s="81"/>
      <c r="J1" s="81"/>
      <c r="K1" s="81" t="s">
        <v>449</v>
      </c>
      <c r="L1" s="81"/>
      <c r="M1" s="81"/>
    </row>
    <row r="2" spans="1:13" ht="12.75">
      <c r="A2" s="28" t="s">
        <v>321</v>
      </c>
      <c r="B2" s="28" t="s">
        <v>409</v>
      </c>
      <c r="C2" s="28" t="s">
        <v>322</v>
      </c>
      <c r="D2" s="28" t="s">
        <v>323</v>
      </c>
      <c r="E2" s="28" t="s">
        <v>324</v>
      </c>
      <c r="F2" s="31" t="s">
        <v>5</v>
      </c>
      <c r="G2" s="31" t="s">
        <v>410</v>
      </c>
      <c r="H2" s="31" t="s">
        <v>411</v>
      </c>
      <c r="I2" s="31" t="s">
        <v>412</v>
      </c>
      <c r="J2" s="31" t="s">
        <v>413</v>
      </c>
      <c r="K2" s="31" t="s">
        <v>414</v>
      </c>
      <c r="L2" s="60" t="s">
        <v>415</v>
      </c>
      <c r="M2" s="60" t="s">
        <v>416</v>
      </c>
    </row>
    <row r="3" spans="1:13" ht="12.75">
      <c r="A3" s="72">
        <v>2</v>
      </c>
      <c r="B3" s="26">
        <v>1</v>
      </c>
      <c r="C3" s="36" t="s">
        <v>400</v>
      </c>
      <c r="D3" s="36"/>
      <c r="E3" s="37">
        <v>723</v>
      </c>
      <c r="F3" s="37" t="s">
        <v>164</v>
      </c>
      <c r="G3" s="26">
        <v>2</v>
      </c>
      <c r="H3" s="26">
        <v>2</v>
      </c>
      <c r="I3" s="26">
        <v>1</v>
      </c>
      <c r="J3" s="26">
        <v>1</v>
      </c>
      <c r="K3" s="51">
        <f aca="true" t="shared" si="0" ref="K3:K13">MAX(G3:J3)</f>
        <v>2</v>
      </c>
      <c r="L3" s="59">
        <f aca="true" t="shared" si="1" ref="L3:L13">SUM(G3:J3)</f>
        <v>6</v>
      </c>
      <c r="M3" s="59">
        <f aca="true" t="shared" si="2" ref="M3:M13">L3-K3</f>
        <v>4</v>
      </c>
    </row>
    <row r="4" spans="1:13" ht="12.75">
      <c r="A4" s="71">
        <v>11</v>
      </c>
      <c r="B4" s="26">
        <v>2</v>
      </c>
      <c r="C4" s="36" t="s">
        <v>459</v>
      </c>
      <c r="D4" s="36" t="s">
        <v>460</v>
      </c>
      <c r="E4" s="37">
        <v>2492</v>
      </c>
      <c r="F4" s="37" t="s">
        <v>35</v>
      </c>
      <c r="G4" s="26">
        <v>1</v>
      </c>
      <c r="H4" s="26">
        <v>1</v>
      </c>
      <c r="I4" s="26">
        <v>2</v>
      </c>
      <c r="J4" s="26">
        <v>2</v>
      </c>
      <c r="K4" s="51">
        <f>MAX(G4:J4)</f>
        <v>2</v>
      </c>
      <c r="L4" s="59">
        <f>SUM(G4:J4)</f>
        <v>6</v>
      </c>
      <c r="M4" s="59">
        <f>L4-K4</f>
        <v>4</v>
      </c>
    </row>
    <row r="5" spans="1:13" ht="12.75">
      <c r="A5" s="71">
        <v>9</v>
      </c>
      <c r="B5" s="26">
        <v>3</v>
      </c>
      <c r="C5" s="33" t="s">
        <v>458</v>
      </c>
      <c r="D5" s="36" t="s">
        <v>457</v>
      </c>
      <c r="E5" s="37">
        <v>1001</v>
      </c>
      <c r="F5" s="37" t="s">
        <v>170</v>
      </c>
      <c r="G5" s="26">
        <v>4</v>
      </c>
      <c r="H5" s="26">
        <v>4</v>
      </c>
      <c r="I5" s="26">
        <v>3</v>
      </c>
      <c r="J5" s="26">
        <v>3</v>
      </c>
      <c r="K5" s="51">
        <f t="shared" si="0"/>
        <v>4</v>
      </c>
      <c r="L5" s="59">
        <f t="shared" si="1"/>
        <v>14</v>
      </c>
      <c r="M5" s="59">
        <f t="shared" si="2"/>
        <v>10</v>
      </c>
    </row>
    <row r="6" spans="1:13" ht="12.75">
      <c r="A6" s="72">
        <v>5</v>
      </c>
      <c r="B6" s="26">
        <v>4</v>
      </c>
      <c r="C6" s="36" t="s">
        <v>398</v>
      </c>
      <c r="D6" s="36"/>
      <c r="E6" s="37">
        <v>6661</v>
      </c>
      <c r="F6" s="37" t="s">
        <v>83</v>
      </c>
      <c r="G6" s="26">
        <v>3</v>
      </c>
      <c r="H6" s="26">
        <v>7</v>
      </c>
      <c r="I6" s="26">
        <v>5</v>
      </c>
      <c r="J6" s="26">
        <v>4</v>
      </c>
      <c r="K6" s="51">
        <f t="shared" si="0"/>
        <v>7</v>
      </c>
      <c r="L6" s="59">
        <f t="shared" si="1"/>
        <v>19</v>
      </c>
      <c r="M6" s="59">
        <f t="shared" si="2"/>
        <v>12</v>
      </c>
    </row>
    <row r="7" spans="1:13" ht="12.75">
      <c r="A7" s="71">
        <v>1</v>
      </c>
      <c r="B7" s="26">
        <v>5</v>
      </c>
      <c r="C7" s="47" t="s">
        <v>456</v>
      </c>
      <c r="D7" s="47"/>
      <c r="E7" s="48">
        <v>65915</v>
      </c>
      <c r="F7" s="37" t="s">
        <v>81</v>
      </c>
      <c r="G7" s="26">
        <v>6</v>
      </c>
      <c r="H7" s="26">
        <v>6</v>
      </c>
      <c r="I7" s="26">
        <v>4</v>
      </c>
      <c r="J7" s="26">
        <v>6</v>
      </c>
      <c r="K7" s="51">
        <f t="shared" si="0"/>
        <v>6</v>
      </c>
      <c r="L7" s="59">
        <f t="shared" si="1"/>
        <v>22</v>
      </c>
      <c r="M7" s="59">
        <f t="shared" si="2"/>
        <v>16</v>
      </c>
    </row>
    <row r="8" spans="1:13" ht="12.75">
      <c r="A8" s="72">
        <v>7</v>
      </c>
      <c r="B8" s="26">
        <v>6</v>
      </c>
      <c r="C8" s="36" t="s">
        <v>462</v>
      </c>
      <c r="D8" s="36" t="s">
        <v>401</v>
      </c>
      <c r="E8" s="37">
        <v>927</v>
      </c>
      <c r="F8" s="37" t="s">
        <v>170</v>
      </c>
      <c r="G8" s="26">
        <v>7</v>
      </c>
      <c r="H8" s="26">
        <v>5</v>
      </c>
      <c r="I8" s="26">
        <v>6</v>
      </c>
      <c r="J8" s="26">
        <v>7</v>
      </c>
      <c r="K8" s="51">
        <f t="shared" si="0"/>
        <v>7</v>
      </c>
      <c r="L8" s="59">
        <f t="shared" si="1"/>
        <v>25</v>
      </c>
      <c r="M8" s="59">
        <f t="shared" si="2"/>
        <v>18</v>
      </c>
    </row>
    <row r="9" spans="1:13" ht="12.75">
      <c r="A9" s="72">
        <v>4</v>
      </c>
      <c r="B9" s="26">
        <v>7</v>
      </c>
      <c r="C9" s="36" t="s">
        <v>399</v>
      </c>
      <c r="D9" s="36"/>
      <c r="E9" s="37">
        <v>113</v>
      </c>
      <c r="F9" s="37" t="s">
        <v>164</v>
      </c>
      <c r="G9" s="26">
        <v>8</v>
      </c>
      <c r="H9" s="26">
        <v>9</v>
      </c>
      <c r="I9" s="26">
        <v>9</v>
      </c>
      <c r="J9" s="26">
        <v>5</v>
      </c>
      <c r="K9" s="51">
        <f t="shared" si="0"/>
        <v>9</v>
      </c>
      <c r="L9" s="59">
        <f t="shared" si="1"/>
        <v>31</v>
      </c>
      <c r="M9" s="59">
        <f t="shared" si="2"/>
        <v>22</v>
      </c>
    </row>
    <row r="10" spans="1:13" ht="12.75">
      <c r="A10" s="72">
        <v>6</v>
      </c>
      <c r="B10" s="26">
        <v>8</v>
      </c>
      <c r="C10" s="36" t="s">
        <v>453</v>
      </c>
      <c r="D10" s="36"/>
      <c r="E10" s="37">
        <v>127</v>
      </c>
      <c r="F10" s="37" t="s">
        <v>164</v>
      </c>
      <c r="G10" s="26">
        <v>5</v>
      </c>
      <c r="H10" s="26">
        <v>8</v>
      </c>
      <c r="I10" s="26">
        <v>10</v>
      </c>
      <c r="J10" s="26">
        <v>9</v>
      </c>
      <c r="K10" s="51">
        <f>MAX(G10:J10)</f>
        <v>10</v>
      </c>
      <c r="L10" s="59">
        <f>SUM(G10:J10)</f>
        <v>32</v>
      </c>
      <c r="M10" s="59">
        <f>L10-K10</f>
        <v>22</v>
      </c>
    </row>
    <row r="11" spans="1:13" ht="12.75">
      <c r="A11" s="72">
        <v>12</v>
      </c>
      <c r="B11" s="26">
        <v>9</v>
      </c>
      <c r="C11" s="36" t="s">
        <v>474</v>
      </c>
      <c r="D11" s="43"/>
      <c r="E11" s="44"/>
      <c r="F11" s="45" t="s">
        <v>470</v>
      </c>
      <c r="G11" s="26">
        <v>9</v>
      </c>
      <c r="H11" s="26">
        <v>10</v>
      </c>
      <c r="I11" s="26">
        <v>8</v>
      </c>
      <c r="J11" s="26">
        <v>8</v>
      </c>
      <c r="K11" s="51">
        <f t="shared" si="0"/>
        <v>10</v>
      </c>
      <c r="L11" s="59">
        <f t="shared" si="1"/>
        <v>35</v>
      </c>
      <c r="M11" s="59">
        <f t="shared" si="2"/>
        <v>25</v>
      </c>
    </row>
    <row r="12" spans="1:13" ht="12.75">
      <c r="A12" s="72">
        <v>3</v>
      </c>
      <c r="B12" s="26">
        <v>10</v>
      </c>
      <c r="C12" s="43" t="s">
        <v>397</v>
      </c>
      <c r="D12" s="43"/>
      <c r="E12" s="44"/>
      <c r="F12" s="45" t="s">
        <v>470</v>
      </c>
      <c r="G12" s="26">
        <v>10</v>
      </c>
      <c r="H12" s="26">
        <v>11</v>
      </c>
      <c r="I12" s="26">
        <v>7</v>
      </c>
      <c r="J12" s="26">
        <v>10</v>
      </c>
      <c r="K12" s="51">
        <f t="shared" si="0"/>
        <v>11</v>
      </c>
      <c r="L12" s="59">
        <f t="shared" si="1"/>
        <v>38</v>
      </c>
      <c r="M12" s="59">
        <f t="shared" si="2"/>
        <v>27</v>
      </c>
    </row>
    <row r="13" spans="1:13" ht="12.75">
      <c r="A13" s="71">
        <v>10</v>
      </c>
      <c r="B13" s="26">
        <v>11</v>
      </c>
      <c r="C13" s="36" t="s">
        <v>473</v>
      </c>
      <c r="D13" s="36" t="s">
        <v>461</v>
      </c>
      <c r="E13" s="37">
        <v>7</v>
      </c>
      <c r="F13" s="37" t="s">
        <v>81</v>
      </c>
      <c r="G13" s="26">
        <v>13</v>
      </c>
      <c r="H13" s="26">
        <v>3</v>
      </c>
      <c r="I13" s="26">
        <v>13</v>
      </c>
      <c r="J13" s="26">
        <v>13</v>
      </c>
      <c r="K13" s="51">
        <f t="shared" si="0"/>
        <v>13</v>
      </c>
      <c r="L13" s="59">
        <f t="shared" si="1"/>
        <v>42</v>
      </c>
      <c r="M13" s="59">
        <f t="shared" si="2"/>
        <v>29</v>
      </c>
    </row>
    <row r="14" spans="1:13" ht="12.75">
      <c r="A14" s="72">
        <v>8</v>
      </c>
      <c r="B14" s="26">
        <v>12</v>
      </c>
      <c r="C14" s="33" t="s">
        <v>471</v>
      </c>
      <c r="D14" s="33" t="s">
        <v>472</v>
      </c>
      <c r="E14" s="50">
        <v>348</v>
      </c>
      <c r="F14" s="33" t="s">
        <v>35</v>
      </c>
      <c r="G14" s="26">
        <v>13</v>
      </c>
      <c r="H14" s="26">
        <v>13</v>
      </c>
      <c r="I14" s="26">
        <v>13</v>
      </c>
      <c r="J14" s="26">
        <v>13</v>
      </c>
      <c r="K14" s="51">
        <f>MAX(G14:J14)</f>
        <v>13</v>
      </c>
      <c r="L14" s="59">
        <f>SUM(G14:J14)</f>
        <v>52</v>
      </c>
      <c r="M14" s="59">
        <f>L14-K14</f>
        <v>39</v>
      </c>
    </row>
    <row r="15" ht="12.75">
      <c r="A15" s="29"/>
    </row>
    <row r="16" ht="12.75">
      <c r="A16" s="29"/>
    </row>
    <row r="17" ht="12.75">
      <c r="A17" s="29"/>
    </row>
    <row r="18" ht="12.75">
      <c r="A18" s="2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  <row r="24" ht="12.75">
      <c r="A24" s="29"/>
    </row>
    <row r="25" ht="12.75">
      <c r="A25" s="29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12"/>
    </sheetView>
  </sheetViews>
  <sheetFormatPr defaultColWidth="9.140625" defaultRowHeight="12.75"/>
  <cols>
    <col min="1" max="1" width="59.7109375" style="0" bestFit="1" customWidth="1"/>
    <col min="4" max="4" width="2.7109375" style="26" bestFit="1" customWidth="1"/>
    <col min="6" max="6" width="2.7109375" style="0" bestFit="1" customWidth="1"/>
  </cols>
  <sheetData>
    <row r="1" spans="1:6" ht="12.75">
      <c r="A1" s="15" t="s">
        <v>436</v>
      </c>
      <c r="D1" s="26">
        <v>1</v>
      </c>
      <c r="F1">
        <v>1</v>
      </c>
    </row>
    <row r="2" spans="1:6" ht="12.75">
      <c r="A2" t="s">
        <v>395</v>
      </c>
      <c r="D2" s="26">
        <v>2</v>
      </c>
      <c r="F2">
        <f aca="true" t="shared" si="0" ref="F2:F33">F1+1</f>
        <v>2</v>
      </c>
    </row>
    <row r="3" spans="1:6" ht="12.75">
      <c r="A3" t="s">
        <v>396</v>
      </c>
      <c r="D3" s="26">
        <v>3</v>
      </c>
      <c r="F3">
        <f t="shared" si="0"/>
        <v>3</v>
      </c>
    </row>
    <row r="4" spans="1:6" ht="12.75">
      <c r="A4" t="s">
        <v>402</v>
      </c>
      <c r="D4" s="26">
        <v>4</v>
      </c>
      <c r="F4">
        <f t="shared" si="0"/>
        <v>4</v>
      </c>
    </row>
    <row r="5" spans="1:6" ht="12.75">
      <c r="A5" t="s">
        <v>433</v>
      </c>
      <c r="D5" s="26">
        <v>5</v>
      </c>
      <c r="F5">
        <f t="shared" si="0"/>
        <v>5</v>
      </c>
    </row>
    <row r="6" spans="4:6" ht="12.75">
      <c r="D6" s="26">
        <v>6</v>
      </c>
      <c r="F6">
        <f t="shared" si="0"/>
        <v>6</v>
      </c>
    </row>
    <row r="7" spans="4:6" ht="12.75">
      <c r="D7" s="26">
        <v>7</v>
      </c>
      <c r="F7">
        <f t="shared" si="0"/>
        <v>7</v>
      </c>
    </row>
    <row r="8" spans="1:6" ht="12.75">
      <c r="A8" s="15" t="s">
        <v>435</v>
      </c>
      <c r="D8" s="26">
        <v>8</v>
      </c>
      <c r="F8">
        <f t="shared" si="0"/>
        <v>8</v>
      </c>
    </row>
    <row r="9" spans="1:6" ht="12.75">
      <c r="A9" t="s">
        <v>434</v>
      </c>
      <c r="D9" s="26">
        <v>9</v>
      </c>
      <c r="F9">
        <f t="shared" si="0"/>
        <v>9</v>
      </c>
    </row>
    <row r="10" spans="1:6" ht="12.75">
      <c r="A10" t="s">
        <v>407</v>
      </c>
      <c r="D10" s="26">
        <v>10</v>
      </c>
      <c r="F10">
        <f t="shared" si="0"/>
        <v>10</v>
      </c>
    </row>
    <row r="11" spans="1:6" ht="12.75">
      <c r="A11" s="15"/>
      <c r="D11" s="26">
        <v>11</v>
      </c>
      <c r="F11">
        <f t="shared" si="0"/>
        <v>11</v>
      </c>
    </row>
    <row r="12" spans="1:6" ht="12.75">
      <c r="A12" t="s">
        <v>403</v>
      </c>
      <c r="D12" s="26">
        <v>12</v>
      </c>
      <c r="F12">
        <f t="shared" si="0"/>
        <v>12</v>
      </c>
    </row>
    <row r="13" spans="1:6" ht="12.75">
      <c r="A13" s="25" t="s">
        <v>404</v>
      </c>
      <c r="D13" s="26">
        <v>13</v>
      </c>
      <c r="F13">
        <f t="shared" si="0"/>
        <v>13</v>
      </c>
    </row>
    <row r="14" spans="1:6" ht="12.75">
      <c r="A14" t="s">
        <v>405</v>
      </c>
      <c r="D14" s="26">
        <v>14</v>
      </c>
      <c r="F14">
        <f t="shared" si="0"/>
        <v>14</v>
      </c>
    </row>
    <row r="15" spans="1:6" ht="12.75">
      <c r="A15" t="s">
        <v>406</v>
      </c>
      <c r="D15" s="26">
        <v>15</v>
      </c>
      <c r="F15">
        <f t="shared" si="0"/>
        <v>15</v>
      </c>
    </row>
    <row r="16" spans="1:6" ht="12.75">
      <c r="A16" t="s">
        <v>437</v>
      </c>
      <c r="D16" s="26">
        <v>16</v>
      </c>
      <c r="F16">
        <f t="shared" si="0"/>
        <v>16</v>
      </c>
    </row>
    <row r="17" spans="1:6" ht="12.75">
      <c r="A17" t="s">
        <v>438</v>
      </c>
      <c r="D17" s="26">
        <v>17</v>
      </c>
      <c r="F17">
        <f t="shared" si="0"/>
        <v>17</v>
      </c>
    </row>
    <row r="18" spans="4:6" ht="12.75">
      <c r="D18" s="26">
        <v>18</v>
      </c>
      <c r="F18">
        <f t="shared" si="0"/>
        <v>18</v>
      </c>
    </row>
    <row r="19" spans="4:6" ht="12.75">
      <c r="D19" s="26">
        <v>19</v>
      </c>
      <c r="F19">
        <f t="shared" si="0"/>
        <v>19</v>
      </c>
    </row>
    <row r="20" spans="1:6" ht="12.75">
      <c r="A20" s="15" t="s">
        <v>408</v>
      </c>
      <c r="D20" s="26">
        <v>20</v>
      </c>
      <c r="F20">
        <f t="shared" si="0"/>
        <v>20</v>
      </c>
    </row>
    <row r="21" spans="1:6" ht="12.75">
      <c r="A21" t="s">
        <v>439</v>
      </c>
      <c r="D21" s="26">
        <v>21</v>
      </c>
      <c r="F21">
        <f t="shared" si="0"/>
        <v>21</v>
      </c>
    </row>
    <row r="22" spans="1:6" ht="12.75">
      <c r="A22" t="s">
        <v>440</v>
      </c>
      <c r="D22" s="26">
        <v>22</v>
      </c>
      <c r="F22">
        <f t="shared" si="0"/>
        <v>22</v>
      </c>
    </row>
    <row r="23" spans="1:6" ht="12.75">
      <c r="A23" t="s">
        <v>451</v>
      </c>
      <c r="D23" s="26">
        <v>23</v>
      </c>
      <c r="F23">
        <f t="shared" si="0"/>
        <v>23</v>
      </c>
    </row>
    <row r="24" spans="1:6" ht="12.75">
      <c r="A24" t="s">
        <v>452</v>
      </c>
      <c r="D24" s="26">
        <v>24</v>
      </c>
      <c r="F24">
        <f t="shared" si="0"/>
        <v>24</v>
      </c>
    </row>
    <row r="25" spans="4:6" ht="12.75">
      <c r="D25" s="26">
        <v>25</v>
      </c>
      <c r="F25">
        <f t="shared" si="0"/>
        <v>25</v>
      </c>
    </row>
    <row r="26" spans="1:6" ht="12.75">
      <c r="A26" s="15" t="s">
        <v>431</v>
      </c>
      <c r="D26" s="26">
        <v>26</v>
      </c>
      <c r="F26">
        <f t="shared" si="0"/>
        <v>26</v>
      </c>
    </row>
    <row r="27" spans="1:6" ht="12.75">
      <c r="A27" t="s">
        <v>420</v>
      </c>
      <c r="D27" s="26">
        <v>27</v>
      </c>
      <c r="F27">
        <f t="shared" si="0"/>
        <v>27</v>
      </c>
    </row>
    <row r="28" spans="4:6" ht="12.75">
      <c r="D28" s="26">
        <v>28</v>
      </c>
      <c r="F28">
        <f t="shared" si="0"/>
        <v>28</v>
      </c>
    </row>
    <row r="29" spans="1:6" ht="12.75">
      <c r="A29" t="s">
        <v>421</v>
      </c>
      <c r="D29" s="26">
        <v>29</v>
      </c>
      <c r="F29">
        <f t="shared" si="0"/>
        <v>29</v>
      </c>
    </row>
    <row r="30" spans="1:6" ht="12.75">
      <c r="A30" t="s">
        <v>407</v>
      </c>
      <c r="D30" s="26">
        <v>30</v>
      </c>
      <c r="F30">
        <f t="shared" si="0"/>
        <v>30</v>
      </c>
    </row>
    <row r="31" spans="1:6" ht="12.75">
      <c r="A31" t="s">
        <v>422</v>
      </c>
      <c r="D31" s="26">
        <v>31</v>
      </c>
      <c r="F31">
        <f t="shared" si="0"/>
        <v>31</v>
      </c>
    </row>
    <row r="32" spans="4:6" ht="12.75">
      <c r="D32" s="26">
        <v>32</v>
      </c>
      <c r="F32">
        <f t="shared" si="0"/>
        <v>32</v>
      </c>
    </row>
    <row r="33" spans="4:6" ht="12.75">
      <c r="D33" s="26">
        <v>33</v>
      </c>
      <c r="F33">
        <f t="shared" si="0"/>
        <v>33</v>
      </c>
    </row>
    <row r="34" spans="1:6" ht="12.75">
      <c r="A34" t="s">
        <v>423</v>
      </c>
      <c r="D34" s="26">
        <v>34</v>
      </c>
      <c r="F34">
        <f aca="true" t="shared" si="1" ref="F34:F50">F33+1</f>
        <v>34</v>
      </c>
    </row>
    <row r="35" spans="4:6" ht="12.75">
      <c r="D35" s="26">
        <v>35</v>
      </c>
      <c r="F35">
        <f t="shared" si="1"/>
        <v>35</v>
      </c>
    </row>
    <row r="36" spans="1:6" ht="12.75">
      <c r="A36" t="s">
        <v>430</v>
      </c>
      <c r="D36" s="26">
        <v>36</v>
      </c>
      <c r="F36">
        <f t="shared" si="1"/>
        <v>36</v>
      </c>
    </row>
    <row r="37" spans="1:6" ht="12.75">
      <c r="A37" t="s">
        <v>424</v>
      </c>
      <c r="D37" s="26">
        <v>37</v>
      </c>
      <c r="F37">
        <f t="shared" si="1"/>
        <v>37</v>
      </c>
    </row>
    <row r="38" spans="1:6" ht="12.75">
      <c r="A38" t="s">
        <v>425</v>
      </c>
      <c r="D38" s="26">
        <v>38</v>
      </c>
      <c r="F38">
        <f t="shared" si="1"/>
        <v>38</v>
      </c>
    </row>
    <row r="39" spans="1:6" ht="12.75">
      <c r="A39" t="s">
        <v>426</v>
      </c>
      <c r="D39" s="26">
        <v>39</v>
      </c>
      <c r="F39">
        <f t="shared" si="1"/>
        <v>39</v>
      </c>
    </row>
    <row r="40" spans="4:6" ht="12.75">
      <c r="D40" s="26">
        <v>40</v>
      </c>
      <c r="F40">
        <f t="shared" si="1"/>
        <v>40</v>
      </c>
    </row>
    <row r="41" spans="1:6" ht="12.75">
      <c r="A41" t="s">
        <v>427</v>
      </c>
      <c r="D41" s="26">
        <v>41</v>
      </c>
      <c r="F41">
        <f t="shared" si="1"/>
        <v>41</v>
      </c>
    </row>
    <row r="42" spans="4:6" ht="12.75">
      <c r="D42" s="26">
        <v>42</v>
      </c>
      <c r="F42">
        <f t="shared" si="1"/>
        <v>42</v>
      </c>
    </row>
    <row r="43" spans="1:6" ht="12.75">
      <c r="A43" t="s">
        <v>428</v>
      </c>
      <c r="D43" s="26">
        <v>43</v>
      </c>
      <c r="F43">
        <f t="shared" si="1"/>
        <v>43</v>
      </c>
    </row>
    <row r="44" spans="4:6" ht="12.75">
      <c r="D44" s="26">
        <v>44</v>
      </c>
      <c r="F44">
        <f t="shared" si="1"/>
        <v>44</v>
      </c>
    </row>
    <row r="45" spans="1:6" ht="12.75">
      <c r="A45" t="s">
        <v>429</v>
      </c>
      <c r="D45" s="26">
        <v>45</v>
      </c>
      <c r="F45">
        <f t="shared" si="1"/>
        <v>45</v>
      </c>
    </row>
    <row r="46" spans="4:6" ht="12.75">
      <c r="D46" s="26">
        <v>46</v>
      </c>
      <c r="F46">
        <f t="shared" si="1"/>
        <v>46</v>
      </c>
    </row>
    <row r="47" spans="1:6" ht="12.75">
      <c r="A47" t="s">
        <v>432</v>
      </c>
      <c r="D47" s="26">
        <v>47</v>
      </c>
      <c r="F47">
        <f t="shared" si="1"/>
        <v>47</v>
      </c>
    </row>
    <row r="48" spans="4:6" ht="12.75">
      <c r="D48" s="26">
        <v>48</v>
      </c>
      <c r="F48">
        <f t="shared" si="1"/>
        <v>48</v>
      </c>
    </row>
    <row r="49" spans="4:6" ht="12.75">
      <c r="D49" s="26">
        <v>49</v>
      </c>
      <c r="F49">
        <f t="shared" si="1"/>
        <v>49</v>
      </c>
    </row>
    <row r="50" spans="1:6" ht="12.75">
      <c r="A50" s="15" t="s">
        <v>441</v>
      </c>
      <c r="D50" s="26">
        <v>50</v>
      </c>
      <c r="F50">
        <f t="shared" si="1"/>
        <v>50</v>
      </c>
    </row>
    <row r="51" ht="12.75">
      <c r="A51" t="s">
        <v>442</v>
      </c>
    </row>
    <row r="52" ht="12.75">
      <c r="A52" t="s">
        <v>443</v>
      </c>
    </row>
    <row r="53" ht="12.75">
      <c r="A53" t="s">
        <v>444</v>
      </c>
    </row>
    <row r="54" ht="12.75">
      <c r="A54" t="s">
        <v>469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8">
      <selection activeCell="C30" sqref="B28:C30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15" t="s">
        <v>341</v>
      </c>
      <c r="B1" s="15" t="s">
        <v>342</v>
      </c>
      <c r="C1" s="15" t="s">
        <v>343</v>
      </c>
      <c r="D1" s="15" t="s">
        <v>344</v>
      </c>
      <c r="E1" s="15" t="s">
        <v>345</v>
      </c>
    </row>
    <row r="2" spans="1:5" ht="12.75">
      <c r="A2" s="16">
        <v>0</v>
      </c>
      <c r="B2" s="16" t="s">
        <v>346</v>
      </c>
      <c r="C2" s="16" t="s">
        <v>347</v>
      </c>
      <c r="D2" s="16" t="s">
        <v>348</v>
      </c>
      <c r="E2" s="17" t="s">
        <v>349</v>
      </c>
    </row>
    <row r="3" spans="1:5" ht="12.75">
      <c r="A3" s="18"/>
      <c r="B3" s="18"/>
      <c r="C3" s="18" t="s">
        <v>350</v>
      </c>
      <c r="D3" s="18"/>
      <c r="E3" s="19"/>
    </row>
    <row r="4" spans="1:5" ht="12.75">
      <c r="A4" s="18"/>
      <c r="B4" s="18"/>
      <c r="C4" s="18" t="s">
        <v>351</v>
      </c>
      <c r="D4" s="18" t="s">
        <v>352</v>
      </c>
      <c r="E4" s="19"/>
    </row>
    <row r="5" spans="1:5" ht="12.75">
      <c r="A5" s="18"/>
      <c r="B5" s="18"/>
      <c r="C5" s="18" t="s">
        <v>353</v>
      </c>
      <c r="D5" s="18"/>
      <c r="E5" s="19"/>
    </row>
    <row r="6" spans="1:5" ht="12.75">
      <c r="A6" s="18">
        <v>1</v>
      </c>
      <c r="B6" s="18" t="s">
        <v>354</v>
      </c>
      <c r="C6" s="18" t="s">
        <v>355</v>
      </c>
      <c r="D6" s="18" t="s">
        <v>356</v>
      </c>
      <c r="E6" s="19" t="s">
        <v>357</v>
      </c>
    </row>
    <row r="7" spans="1:5" ht="12.75">
      <c r="A7" s="18"/>
      <c r="B7" s="18"/>
      <c r="C7" s="18" t="s">
        <v>358</v>
      </c>
      <c r="D7" s="18"/>
      <c r="E7" s="19"/>
    </row>
    <row r="8" spans="1:5" ht="12.75">
      <c r="A8" s="18"/>
      <c r="B8" s="18"/>
      <c r="C8" s="61" t="s">
        <v>359</v>
      </c>
      <c r="D8" s="18" t="s">
        <v>360</v>
      </c>
      <c r="E8" s="19"/>
    </row>
    <row r="9" spans="1:5" ht="13.5" thickBot="1">
      <c r="A9" s="20"/>
      <c r="B9" s="20"/>
      <c r="C9" s="20" t="s">
        <v>361</v>
      </c>
      <c r="D9" s="20"/>
      <c r="E9" s="21"/>
    </row>
    <row r="10" spans="1:5" ht="12.75">
      <c r="A10" s="22">
        <v>2</v>
      </c>
      <c r="B10" s="16" t="s">
        <v>362</v>
      </c>
      <c r="C10" s="16" t="s">
        <v>363</v>
      </c>
      <c r="D10" s="16" t="s">
        <v>364</v>
      </c>
      <c r="E10" s="17" t="s">
        <v>365</v>
      </c>
    </row>
    <row r="11" spans="1:5" ht="12.75">
      <c r="A11" s="23"/>
      <c r="B11" s="18"/>
      <c r="C11" s="18" t="s">
        <v>366</v>
      </c>
      <c r="D11" s="18"/>
      <c r="E11" s="19"/>
    </row>
    <row r="12" spans="1:5" ht="12.75">
      <c r="A12" s="23"/>
      <c r="B12" s="18"/>
      <c r="C12" s="61" t="s">
        <v>367</v>
      </c>
      <c r="D12" s="18" t="s">
        <v>368</v>
      </c>
      <c r="E12" s="19"/>
    </row>
    <row r="13" spans="1:5" ht="12.75">
      <c r="A13" s="23"/>
      <c r="B13" s="18"/>
      <c r="C13" s="18" t="s">
        <v>369</v>
      </c>
      <c r="D13" s="18"/>
      <c r="E13" s="19"/>
    </row>
    <row r="14" spans="1:5" ht="12.75">
      <c r="A14" s="23">
        <v>3</v>
      </c>
      <c r="B14" s="18" t="s">
        <v>370</v>
      </c>
      <c r="C14" s="18" t="s">
        <v>371</v>
      </c>
      <c r="D14" s="18" t="s">
        <v>372</v>
      </c>
      <c r="E14" s="19" t="s">
        <v>373</v>
      </c>
    </row>
    <row r="15" spans="1:5" ht="12.75">
      <c r="A15" s="23"/>
      <c r="B15" s="18"/>
      <c r="C15" s="18" t="s">
        <v>374</v>
      </c>
      <c r="D15" s="18"/>
      <c r="E15" s="19"/>
    </row>
    <row r="16" spans="1:5" ht="12.75">
      <c r="A16" s="23"/>
      <c r="B16" s="18"/>
      <c r="C16" s="61" t="s">
        <v>375</v>
      </c>
      <c r="D16" s="18" t="s">
        <v>376</v>
      </c>
      <c r="E16" s="19"/>
    </row>
    <row r="17" spans="1:5" ht="13.5" thickBot="1">
      <c r="A17" s="24"/>
      <c r="B17" s="20"/>
      <c r="C17" s="20" t="s">
        <v>377</v>
      </c>
      <c r="D17" s="20"/>
      <c r="E17" s="21"/>
    </row>
    <row r="18" spans="1:5" ht="12.75">
      <c r="A18" s="22">
        <v>4</v>
      </c>
      <c r="B18" s="16" t="s">
        <v>378</v>
      </c>
      <c r="C18" s="16" t="s">
        <v>379</v>
      </c>
      <c r="D18" s="16" t="s">
        <v>380</v>
      </c>
      <c r="E18" s="17" t="s">
        <v>381</v>
      </c>
    </row>
    <row r="19" spans="1:5" ht="12.75">
      <c r="A19" s="23"/>
      <c r="B19" s="18"/>
      <c r="C19" s="18" t="s">
        <v>382</v>
      </c>
      <c r="D19" s="18"/>
      <c r="E19" s="19"/>
    </row>
    <row r="20" spans="1:5" ht="12.75">
      <c r="A20" s="23"/>
      <c r="B20" s="18"/>
      <c r="C20" s="61" t="s">
        <v>383</v>
      </c>
      <c r="D20" s="18" t="s">
        <v>384</v>
      </c>
      <c r="E20" s="19"/>
    </row>
    <row r="21" spans="1:5" ht="13.5" thickBot="1">
      <c r="A21" s="24"/>
      <c r="B21" s="20"/>
      <c r="C21" s="20" t="s">
        <v>385</v>
      </c>
      <c r="D21" s="20"/>
      <c r="E21" s="21"/>
    </row>
    <row r="22" spans="1:5" ht="12.75">
      <c r="A22" s="22">
        <v>5</v>
      </c>
      <c r="B22" s="16" t="s">
        <v>386</v>
      </c>
      <c r="C22" s="16" t="s">
        <v>387</v>
      </c>
      <c r="D22" s="16" t="s">
        <v>388</v>
      </c>
      <c r="E22" s="17" t="s">
        <v>389</v>
      </c>
    </row>
    <row r="23" spans="1:5" ht="12.75">
      <c r="A23" s="23"/>
      <c r="B23" s="18"/>
      <c r="C23" s="18" t="s">
        <v>390</v>
      </c>
      <c r="D23" s="18"/>
      <c r="E23" s="19"/>
    </row>
    <row r="24" spans="1:5" ht="12.75">
      <c r="A24" s="23"/>
      <c r="B24" s="18"/>
      <c r="C24" s="61" t="s">
        <v>391</v>
      </c>
      <c r="D24" s="18" t="s">
        <v>392</v>
      </c>
      <c r="E24" s="19"/>
    </row>
    <row r="25" spans="1:5" ht="13.5" thickBot="1">
      <c r="A25" s="24"/>
      <c r="B25" s="20"/>
      <c r="C25" s="20" t="s">
        <v>393</v>
      </c>
      <c r="D25" s="20"/>
      <c r="E25" s="2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173"/>
  <sheetViews>
    <sheetView workbookViewId="0" topLeftCell="A86">
      <selection activeCell="B94" sqref="B94"/>
    </sheetView>
  </sheetViews>
  <sheetFormatPr defaultColWidth="9.140625" defaultRowHeight="12.75"/>
  <cols>
    <col min="1" max="1" width="33.00390625" style="7" bestFit="1" customWidth="1"/>
    <col min="2" max="2" width="8.57421875" style="0" bestFit="1" customWidth="1"/>
    <col min="3" max="3" width="12.28125" style="0" bestFit="1" customWidth="1"/>
    <col min="4" max="4" width="13.57421875" style="0" bestFit="1" customWidth="1"/>
    <col min="5" max="6" width="5.421875" style="7" bestFit="1" customWidth="1"/>
    <col min="7" max="8" width="4.7109375" style="7" bestFit="1" customWidth="1"/>
    <col min="9" max="10" width="5.421875" style="7" bestFit="1" customWidth="1"/>
  </cols>
  <sheetData>
    <row r="1" spans="1:10" ht="12.75">
      <c r="A1" s="3" t="s">
        <v>419</v>
      </c>
      <c r="B1" s="3" t="s">
        <v>6</v>
      </c>
      <c r="C1" s="4" t="s">
        <v>7</v>
      </c>
      <c r="D1" s="4" t="s">
        <v>8</v>
      </c>
      <c r="E1" s="5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</row>
    <row r="2" spans="1:10" ht="12.75">
      <c r="A2" s="1" t="s">
        <v>418</v>
      </c>
      <c r="B2" s="1" t="s">
        <v>338</v>
      </c>
      <c r="C2" s="1" t="s">
        <v>339</v>
      </c>
      <c r="D2" s="1" t="s">
        <v>340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417</v>
      </c>
    </row>
    <row r="3" spans="1:10" ht="12.75">
      <c r="A3" t="s">
        <v>13</v>
      </c>
      <c r="B3" t="s">
        <v>14</v>
      </c>
      <c r="C3" s="6" t="s">
        <v>15</v>
      </c>
      <c r="D3" s="6" t="s">
        <v>15</v>
      </c>
      <c r="E3">
        <v>64.2</v>
      </c>
      <c r="F3">
        <v>68.2</v>
      </c>
      <c r="G3">
        <v>65.4</v>
      </c>
      <c r="H3">
        <v>65.4</v>
      </c>
      <c r="I3">
        <v>63.4</v>
      </c>
      <c r="J3">
        <v>60</v>
      </c>
    </row>
    <row r="4" spans="1:10" ht="12.75">
      <c r="A4" t="s">
        <v>16</v>
      </c>
      <c r="B4" t="s">
        <v>17</v>
      </c>
      <c r="C4" s="6" t="s">
        <v>15</v>
      </c>
      <c r="D4" s="6" t="s">
        <v>15</v>
      </c>
      <c r="E4">
        <v>67.2</v>
      </c>
      <c r="F4">
        <v>69</v>
      </c>
      <c r="G4">
        <v>67.3</v>
      </c>
      <c r="H4">
        <v>67.3</v>
      </c>
      <c r="I4">
        <v>66.5</v>
      </c>
      <c r="J4">
        <v>64</v>
      </c>
    </row>
    <row r="5" spans="1:10" ht="12.75">
      <c r="A5" t="s">
        <v>18</v>
      </c>
      <c r="B5" t="s">
        <v>19</v>
      </c>
      <c r="C5" s="6" t="s">
        <v>15</v>
      </c>
      <c r="D5" s="6" t="s">
        <v>15</v>
      </c>
      <c r="E5">
        <v>64.5</v>
      </c>
      <c r="F5">
        <v>68.8</v>
      </c>
      <c r="G5">
        <v>65.6</v>
      </c>
      <c r="H5">
        <v>65.6</v>
      </c>
      <c r="I5">
        <v>63.8</v>
      </c>
      <c r="J5">
        <v>60.9</v>
      </c>
    </row>
    <row r="6" spans="1:10" ht="12.75">
      <c r="A6" t="s">
        <v>20</v>
      </c>
      <c r="B6" t="s">
        <v>21</v>
      </c>
      <c r="C6" s="6" t="s">
        <v>15</v>
      </c>
      <c r="D6" s="6" t="s">
        <v>15</v>
      </c>
      <c r="E6">
        <v>70.5</v>
      </c>
      <c r="F6">
        <v>72.9</v>
      </c>
      <c r="G6">
        <v>71.4</v>
      </c>
      <c r="H6">
        <v>71.4</v>
      </c>
      <c r="I6">
        <v>69</v>
      </c>
      <c r="J6">
        <v>66.3</v>
      </c>
    </row>
    <row r="7" spans="1:10" ht="12.75">
      <c r="A7" t="s">
        <v>22</v>
      </c>
      <c r="B7" t="s">
        <v>23</v>
      </c>
      <c r="C7" s="6" t="s">
        <v>15</v>
      </c>
      <c r="D7" s="6" t="s">
        <v>15</v>
      </c>
      <c r="E7">
        <v>64.5</v>
      </c>
      <c r="G7"/>
      <c r="H7"/>
      <c r="I7">
        <v>63</v>
      </c>
      <c r="J7"/>
    </row>
    <row r="8" spans="1:10" ht="12.75">
      <c r="A8" t="s">
        <v>24</v>
      </c>
      <c r="B8" t="s">
        <v>25</v>
      </c>
      <c r="C8" s="6" t="s">
        <v>15</v>
      </c>
      <c r="D8" s="6" t="s">
        <v>15</v>
      </c>
      <c r="E8">
        <v>61.8</v>
      </c>
      <c r="F8">
        <v>65.3</v>
      </c>
      <c r="G8">
        <v>62.7</v>
      </c>
      <c r="H8">
        <v>62.7</v>
      </c>
      <c r="I8">
        <v>61.1</v>
      </c>
      <c r="J8">
        <v>58</v>
      </c>
    </row>
    <row r="9" spans="1:10" ht="12.75">
      <c r="A9" t="s">
        <v>26</v>
      </c>
      <c r="B9" t="s">
        <v>27</v>
      </c>
      <c r="C9" s="6">
        <v>325</v>
      </c>
      <c r="D9" s="6">
        <v>2</v>
      </c>
      <c r="E9">
        <v>57</v>
      </c>
      <c r="F9">
        <v>60.4</v>
      </c>
      <c r="G9">
        <v>57.8</v>
      </c>
      <c r="H9">
        <v>57.8</v>
      </c>
      <c r="I9">
        <v>56.7</v>
      </c>
      <c r="J9">
        <v>55.3</v>
      </c>
    </row>
    <row r="10" spans="1:10" ht="12.75">
      <c r="A10" t="s">
        <v>28</v>
      </c>
      <c r="B10" t="s">
        <v>29</v>
      </c>
      <c r="C10" s="6" t="s">
        <v>15</v>
      </c>
      <c r="D10" s="6" t="s">
        <v>15</v>
      </c>
      <c r="E10">
        <v>65.2</v>
      </c>
      <c r="F10">
        <v>68.4</v>
      </c>
      <c r="G10">
        <v>67.5</v>
      </c>
      <c r="H10">
        <v>67.5</v>
      </c>
      <c r="I10">
        <v>64.4</v>
      </c>
      <c r="J10">
        <v>62.3</v>
      </c>
    </row>
    <row r="11" spans="1:10" ht="12.75">
      <c r="A11" t="s">
        <v>30</v>
      </c>
      <c r="B11" t="s">
        <v>31</v>
      </c>
      <c r="C11" s="6" t="s">
        <v>15</v>
      </c>
      <c r="D11" s="6" t="s">
        <v>15</v>
      </c>
      <c r="E11">
        <v>57.9</v>
      </c>
      <c r="F11">
        <v>61.8</v>
      </c>
      <c r="G11">
        <v>58.2</v>
      </c>
      <c r="H11">
        <v>58.2</v>
      </c>
      <c r="I11">
        <v>58</v>
      </c>
      <c r="J11">
        <v>57.3</v>
      </c>
    </row>
    <row r="12" spans="1:10" ht="12.75">
      <c r="A12" t="s">
        <v>32</v>
      </c>
      <c r="B12" t="s">
        <v>33</v>
      </c>
      <c r="E12">
        <v>61.5</v>
      </c>
      <c r="F12"/>
      <c r="G12"/>
      <c r="H12"/>
      <c r="I12">
        <v>64.2</v>
      </c>
      <c r="J12"/>
    </row>
    <row r="13" spans="1:10" ht="12.75">
      <c r="A13" t="s">
        <v>34</v>
      </c>
      <c r="B13" t="s">
        <v>35</v>
      </c>
      <c r="C13">
        <v>330</v>
      </c>
      <c r="E13">
        <v>62.4</v>
      </c>
      <c r="F13">
        <v>65.4</v>
      </c>
      <c r="G13">
        <v>63.9</v>
      </c>
      <c r="H13">
        <v>63.9</v>
      </c>
      <c r="I13">
        <v>61.3</v>
      </c>
      <c r="J13">
        <v>59.5</v>
      </c>
    </row>
    <row r="14" spans="1:10" ht="12.75">
      <c r="A14" t="s">
        <v>36</v>
      </c>
      <c r="B14" t="s">
        <v>37</v>
      </c>
      <c r="C14" s="6" t="s">
        <v>15</v>
      </c>
      <c r="D14" s="6" t="s">
        <v>15</v>
      </c>
      <c r="E14">
        <v>76.3</v>
      </c>
      <c r="F14">
        <v>81.3</v>
      </c>
      <c r="G14">
        <v>79.7</v>
      </c>
      <c r="H14">
        <v>79.7</v>
      </c>
      <c r="I14">
        <v>76.6</v>
      </c>
      <c r="J14">
        <v>70.8</v>
      </c>
    </row>
    <row r="15" spans="1:10" ht="12.75">
      <c r="A15" t="s">
        <v>38</v>
      </c>
      <c r="B15" t="s">
        <v>39</v>
      </c>
      <c r="C15" s="6" t="s">
        <v>15</v>
      </c>
      <c r="D15" s="6" t="s">
        <v>15</v>
      </c>
      <c r="E15">
        <v>78.7</v>
      </c>
      <c r="F15">
        <v>84</v>
      </c>
      <c r="G15">
        <v>82.2</v>
      </c>
      <c r="H15">
        <v>82.2</v>
      </c>
      <c r="I15">
        <v>78.6</v>
      </c>
      <c r="J15">
        <v>72.2</v>
      </c>
    </row>
    <row r="16" spans="1:10" ht="12.75">
      <c r="A16" t="s">
        <v>40</v>
      </c>
      <c r="B16" t="s">
        <v>41</v>
      </c>
      <c r="C16" s="6" t="s">
        <v>15</v>
      </c>
      <c r="D16" s="6" t="s">
        <v>15</v>
      </c>
      <c r="E16">
        <v>72.5</v>
      </c>
      <c r="F16">
        <v>76</v>
      </c>
      <c r="G16">
        <v>74.9</v>
      </c>
      <c r="H16">
        <v>74.9</v>
      </c>
      <c r="I16">
        <v>72.9</v>
      </c>
      <c r="J16">
        <v>66.2</v>
      </c>
    </row>
    <row r="17" spans="1:10" ht="12.75">
      <c r="A17" t="s">
        <v>42</v>
      </c>
      <c r="B17" t="s">
        <v>35</v>
      </c>
      <c r="C17" s="6"/>
      <c r="D17" s="6"/>
      <c r="E17"/>
      <c r="F17"/>
      <c r="G17"/>
      <c r="H17"/>
      <c r="I17"/>
      <c r="J17"/>
    </row>
    <row r="18" spans="1:10" ht="12.75">
      <c r="A18" t="s">
        <v>43</v>
      </c>
      <c r="B18" t="s">
        <v>44</v>
      </c>
      <c r="C18" s="6" t="s">
        <v>15</v>
      </c>
      <c r="D18" s="6" t="s">
        <v>15</v>
      </c>
      <c r="E18">
        <v>81.1</v>
      </c>
      <c r="F18">
        <v>87.3</v>
      </c>
      <c r="G18">
        <v>83.5</v>
      </c>
      <c r="H18">
        <v>83.5</v>
      </c>
      <c r="I18">
        <v>80.5</v>
      </c>
      <c r="J18">
        <v>74.1</v>
      </c>
    </row>
    <row r="19" spans="1:10" ht="12.75">
      <c r="A19" t="s">
        <v>45</v>
      </c>
      <c r="B19" t="s">
        <v>29</v>
      </c>
      <c r="C19" s="6" t="s">
        <v>15</v>
      </c>
      <c r="D19" s="6" t="s">
        <v>15</v>
      </c>
      <c r="E19">
        <v>63</v>
      </c>
      <c r="F19">
        <v>66</v>
      </c>
      <c r="G19">
        <v>64.5</v>
      </c>
      <c r="H19">
        <v>64.5</v>
      </c>
      <c r="I19">
        <v>61.9</v>
      </c>
      <c r="J19">
        <v>60.1</v>
      </c>
    </row>
    <row r="20" spans="1:10" ht="12.75">
      <c r="A20" t="s">
        <v>46</v>
      </c>
      <c r="B20" t="s">
        <v>35</v>
      </c>
      <c r="C20" s="6">
        <v>330</v>
      </c>
      <c r="D20" s="6" t="s">
        <v>15</v>
      </c>
      <c r="E20">
        <v>62.4</v>
      </c>
      <c r="F20">
        <v>65.4</v>
      </c>
      <c r="G20">
        <v>63.9</v>
      </c>
      <c r="H20">
        <v>63.9</v>
      </c>
      <c r="I20">
        <v>61.3</v>
      </c>
      <c r="J20">
        <v>59.5</v>
      </c>
    </row>
    <row r="21" spans="1:10" ht="12.75">
      <c r="A21" t="s">
        <v>47</v>
      </c>
      <c r="B21" t="s">
        <v>48</v>
      </c>
      <c r="C21" s="6" t="s">
        <v>15</v>
      </c>
      <c r="D21" s="6" t="s">
        <v>15</v>
      </c>
      <c r="E21">
        <v>60</v>
      </c>
      <c r="F21">
        <v>63.1</v>
      </c>
      <c r="G21">
        <v>60.5</v>
      </c>
      <c r="H21">
        <v>60.5</v>
      </c>
      <c r="I21">
        <v>59.6</v>
      </c>
      <c r="J21">
        <v>57.3</v>
      </c>
    </row>
    <row r="22" spans="1:10" ht="12.75">
      <c r="A22" t="s">
        <v>49</v>
      </c>
      <c r="B22" t="s">
        <v>50</v>
      </c>
      <c r="C22" s="6" t="s">
        <v>15</v>
      </c>
      <c r="D22" s="6" t="s">
        <v>15</v>
      </c>
      <c r="E22">
        <v>76.1</v>
      </c>
      <c r="F22">
        <v>79.9</v>
      </c>
      <c r="G22">
        <v>76.7</v>
      </c>
      <c r="H22">
        <v>76.7</v>
      </c>
      <c r="I22">
        <v>75.6</v>
      </c>
      <c r="J22">
        <v>74.5</v>
      </c>
    </row>
    <row r="23" spans="1:10" ht="12.75">
      <c r="A23" t="s">
        <v>51</v>
      </c>
      <c r="B23" t="s">
        <v>52</v>
      </c>
      <c r="C23" s="6" t="s">
        <v>15</v>
      </c>
      <c r="D23" s="6" t="s">
        <v>15</v>
      </c>
      <c r="E23">
        <v>74.3</v>
      </c>
      <c r="F23">
        <v>77.6</v>
      </c>
      <c r="G23">
        <v>75.3</v>
      </c>
      <c r="H23">
        <v>75.3</v>
      </c>
      <c r="I23">
        <v>74.1</v>
      </c>
      <c r="J23">
        <v>72</v>
      </c>
    </row>
    <row r="24" spans="1:10" ht="12.75">
      <c r="A24" t="s">
        <v>53</v>
      </c>
      <c r="B24" t="s">
        <v>54</v>
      </c>
      <c r="C24" s="6" t="s">
        <v>15</v>
      </c>
      <c r="D24" s="6" t="s">
        <v>15</v>
      </c>
      <c r="E24">
        <v>61.9</v>
      </c>
      <c r="F24">
        <v>67.5</v>
      </c>
      <c r="G24">
        <v>64.4</v>
      </c>
      <c r="H24">
        <v>64.4</v>
      </c>
      <c r="I24">
        <v>62.1</v>
      </c>
      <c r="J24">
        <v>57.7</v>
      </c>
    </row>
    <row r="25" spans="1:10" ht="12.75">
      <c r="A25" t="s">
        <v>55</v>
      </c>
      <c r="B25" t="s">
        <v>56</v>
      </c>
      <c r="C25" s="6" t="s">
        <v>15</v>
      </c>
      <c r="D25" s="6" t="s">
        <v>15</v>
      </c>
      <c r="E25">
        <v>70.5</v>
      </c>
      <c r="F25">
        <v>72.4</v>
      </c>
      <c r="G25">
        <v>73</v>
      </c>
      <c r="H25">
        <v>73</v>
      </c>
      <c r="I25">
        <v>71.4</v>
      </c>
      <c r="J25">
        <v>65.7</v>
      </c>
    </row>
    <row r="26" spans="1:10" ht="12.75">
      <c r="A26" t="s">
        <v>57</v>
      </c>
      <c r="B26" t="s">
        <v>58</v>
      </c>
      <c r="C26" s="6" t="s">
        <v>15</v>
      </c>
      <c r="D26" s="6" t="s">
        <v>15</v>
      </c>
      <c r="E26">
        <v>69.4</v>
      </c>
      <c r="F26">
        <v>71.9</v>
      </c>
      <c r="G26">
        <v>70.1</v>
      </c>
      <c r="H26">
        <v>70.1</v>
      </c>
      <c r="I26">
        <v>67.2</v>
      </c>
      <c r="J26">
        <v>65.1</v>
      </c>
    </row>
    <row r="27" spans="1:10" ht="12.75">
      <c r="A27" t="s">
        <v>59</v>
      </c>
      <c r="B27" t="s">
        <v>60</v>
      </c>
      <c r="C27" s="6" t="s">
        <v>15</v>
      </c>
      <c r="D27" s="6" t="s">
        <v>15</v>
      </c>
      <c r="E27">
        <v>67.1</v>
      </c>
      <c r="F27">
        <v>70.6</v>
      </c>
      <c r="G27">
        <v>69.3</v>
      </c>
      <c r="H27">
        <v>69.3</v>
      </c>
      <c r="I27">
        <v>67.2</v>
      </c>
      <c r="J27">
        <v>63.9</v>
      </c>
    </row>
    <row r="28" spans="1:10" ht="12.75">
      <c r="A28" t="s">
        <v>61</v>
      </c>
      <c r="B28" t="s">
        <v>62</v>
      </c>
      <c r="C28" s="6" t="s">
        <v>15</v>
      </c>
      <c r="D28" s="6" t="s">
        <v>15</v>
      </c>
      <c r="E28">
        <v>65</v>
      </c>
      <c r="F28">
        <v>67.8</v>
      </c>
      <c r="G28">
        <v>66.6</v>
      </c>
      <c r="H28">
        <v>66.6</v>
      </c>
      <c r="I28">
        <v>64.8</v>
      </c>
      <c r="J28">
        <v>61.3</v>
      </c>
    </row>
    <row r="29" spans="1:10" ht="12.75">
      <c r="A29" t="s">
        <v>63</v>
      </c>
      <c r="B29" t="s">
        <v>64</v>
      </c>
      <c r="C29" s="6" t="s">
        <v>15</v>
      </c>
      <c r="D29" s="6" t="s">
        <v>15</v>
      </c>
      <c r="E29">
        <v>65.4</v>
      </c>
      <c r="F29">
        <v>72</v>
      </c>
      <c r="G29">
        <v>67</v>
      </c>
      <c r="H29">
        <v>67</v>
      </c>
      <c r="I29">
        <v>66.1</v>
      </c>
      <c r="J29">
        <v>66.2</v>
      </c>
    </row>
    <row r="30" spans="1:10" ht="12.75">
      <c r="A30" t="s">
        <v>65</v>
      </c>
      <c r="B30" t="s">
        <v>66</v>
      </c>
      <c r="C30" s="6" t="s">
        <v>15</v>
      </c>
      <c r="D30" s="6" t="s">
        <v>15</v>
      </c>
      <c r="E30">
        <v>61.9</v>
      </c>
      <c r="F30">
        <v>65.4</v>
      </c>
      <c r="G30">
        <v>64.1</v>
      </c>
      <c r="H30">
        <v>64.1</v>
      </c>
      <c r="I30">
        <v>62.5</v>
      </c>
      <c r="J30">
        <v>59.9</v>
      </c>
    </row>
    <row r="31" spans="1:10" ht="12.75">
      <c r="A31" t="s">
        <v>67</v>
      </c>
      <c r="B31" t="s">
        <v>68</v>
      </c>
      <c r="C31" s="6" t="s">
        <v>15</v>
      </c>
      <c r="D31" s="6" t="s">
        <v>15</v>
      </c>
      <c r="E31">
        <v>67.6</v>
      </c>
      <c r="F31" t="s">
        <v>69</v>
      </c>
      <c r="G31">
        <v>68.6</v>
      </c>
      <c r="H31">
        <v>68.6</v>
      </c>
      <c r="I31" t="s">
        <v>70</v>
      </c>
      <c r="J31" t="s">
        <v>71</v>
      </c>
    </row>
    <row r="32" spans="1:10" ht="12.75">
      <c r="A32" t="s">
        <v>72</v>
      </c>
      <c r="B32" t="s">
        <v>73</v>
      </c>
      <c r="C32" s="6" t="s">
        <v>15</v>
      </c>
      <c r="D32" s="6" t="s">
        <v>15</v>
      </c>
      <c r="E32">
        <v>76.1</v>
      </c>
      <c r="F32">
        <v>82</v>
      </c>
      <c r="G32">
        <v>78.2</v>
      </c>
      <c r="H32">
        <v>78.2</v>
      </c>
      <c r="I32">
        <v>76</v>
      </c>
      <c r="J32">
        <v>72</v>
      </c>
    </row>
    <row r="33" spans="1:10" ht="12.75">
      <c r="A33" t="s">
        <v>74</v>
      </c>
      <c r="B33" t="s">
        <v>75</v>
      </c>
      <c r="C33" s="6" t="s">
        <v>15</v>
      </c>
      <c r="D33" s="6" t="s">
        <v>15</v>
      </c>
      <c r="E33">
        <v>73.2</v>
      </c>
      <c r="F33">
        <v>78</v>
      </c>
      <c r="G33">
        <v>75</v>
      </c>
      <c r="H33">
        <v>75</v>
      </c>
      <c r="I33">
        <v>72.2</v>
      </c>
      <c r="J33">
        <v>68.2</v>
      </c>
    </row>
    <row r="34" spans="1:10" ht="12.75">
      <c r="A34" t="s">
        <v>76</v>
      </c>
      <c r="B34" t="s">
        <v>77</v>
      </c>
      <c r="C34" s="6" t="s">
        <v>15</v>
      </c>
      <c r="D34" s="6" t="s">
        <v>15</v>
      </c>
      <c r="E34">
        <v>86.4</v>
      </c>
      <c r="F34">
        <v>95</v>
      </c>
      <c r="G34">
        <v>90.1</v>
      </c>
      <c r="H34">
        <v>90.1</v>
      </c>
      <c r="I34">
        <v>85.6</v>
      </c>
      <c r="J34">
        <v>80.9</v>
      </c>
    </row>
    <row r="35" spans="1:10" ht="12.75">
      <c r="A35" t="s">
        <v>78</v>
      </c>
      <c r="B35" t="s">
        <v>79</v>
      </c>
      <c r="C35" s="6">
        <v>150</v>
      </c>
      <c r="D35" s="6" t="s">
        <v>15</v>
      </c>
      <c r="E35">
        <v>83.1</v>
      </c>
      <c r="F35">
        <v>86.3</v>
      </c>
      <c r="G35">
        <v>85.1</v>
      </c>
      <c r="H35">
        <v>85.1</v>
      </c>
      <c r="I35">
        <v>81.1</v>
      </c>
      <c r="J35">
        <v>79.4</v>
      </c>
    </row>
    <row r="36" spans="1:10" ht="12.75">
      <c r="A36" t="s">
        <v>80</v>
      </c>
      <c r="B36" t="s">
        <v>81</v>
      </c>
      <c r="C36" s="6">
        <v>285</v>
      </c>
      <c r="D36" s="6" t="s">
        <v>15</v>
      </c>
      <c r="E36">
        <v>76</v>
      </c>
      <c r="F36">
        <v>81.5</v>
      </c>
      <c r="G36">
        <v>78.7</v>
      </c>
      <c r="H36">
        <v>78.7</v>
      </c>
      <c r="I36">
        <v>74.1</v>
      </c>
      <c r="J36">
        <v>71.3</v>
      </c>
    </row>
    <row r="37" spans="1:10" ht="12.75">
      <c r="A37" t="s">
        <v>82</v>
      </c>
      <c r="B37" t="s">
        <v>83</v>
      </c>
      <c r="C37" s="6">
        <v>160</v>
      </c>
      <c r="D37" s="6" t="s">
        <v>15</v>
      </c>
      <c r="E37">
        <v>74</v>
      </c>
      <c r="F37">
        <v>78.3</v>
      </c>
      <c r="G37">
        <v>76.2</v>
      </c>
      <c r="H37">
        <v>76.2</v>
      </c>
      <c r="I37">
        <v>73.7</v>
      </c>
      <c r="J37">
        <v>69.7</v>
      </c>
    </row>
    <row r="38" spans="1:10" ht="12.75">
      <c r="A38" t="s">
        <v>84</v>
      </c>
      <c r="B38" t="s">
        <v>85</v>
      </c>
      <c r="C38" s="6" t="s">
        <v>15</v>
      </c>
      <c r="D38" s="6" t="s">
        <v>15</v>
      </c>
      <c r="E38">
        <v>74.5</v>
      </c>
      <c r="F38">
        <v>78</v>
      </c>
      <c r="G38">
        <v>74.7</v>
      </c>
      <c r="H38">
        <v>74.7</v>
      </c>
      <c r="I38">
        <v>74</v>
      </c>
      <c r="J38">
        <v>71.5</v>
      </c>
    </row>
    <row r="39" spans="1:10" ht="12.75">
      <c r="A39" t="s">
        <v>86</v>
      </c>
      <c r="B39" t="s">
        <v>87</v>
      </c>
      <c r="C39" s="6">
        <v>295</v>
      </c>
      <c r="D39" s="6" t="s">
        <v>15</v>
      </c>
      <c r="E39">
        <v>71.4</v>
      </c>
      <c r="F39">
        <v>76.8</v>
      </c>
      <c r="G39">
        <v>73.5</v>
      </c>
      <c r="H39">
        <v>73.5</v>
      </c>
      <c r="I39">
        <v>69.5</v>
      </c>
      <c r="J39">
        <v>66.8</v>
      </c>
    </row>
    <row r="40" spans="1:10" ht="12.75">
      <c r="A40" t="s">
        <v>88</v>
      </c>
      <c r="B40" t="s">
        <v>89</v>
      </c>
      <c r="C40" s="6">
        <v>295</v>
      </c>
      <c r="D40" s="6" t="s">
        <v>15</v>
      </c>
      <c r="E40">
        <v>65</v>
      </c>
      <c r="F40">
        <v>69.1</v>
      </c>
      <c r="G40">
        <v>66.4</v>
      </c>
      <c r="H40">
        <v>66.4</v>
      </c>
      <c r="I40">
        <v>64.4</v>
      </c>
      <c r="J40">
        <v>61.4</v>
      </c>
    </row>
    <row r="41" spans="1:10" ht="12.75">
      <c r="A41" t="s">
        <v>90</v>
      </c>
      <c r="B41" t="s">
        <v>91</v>
      </c>
      <c r="C41" s="6">
        <v>330</v>
      </c>
      <c r="D41" s="6" t="s">
        <v>15</v>
      </c>
      <c r="E41">
        <v>67</v>
      </c>
      <c r="F41">
        <v>71.9</v>
      </c>
      <c r="G41">
        <v>69.2</v>
      </c>
      <c r="H41">
        <v>69.2</v>
      </c>
      <c r="I41">
        <v>66.3</v>
      </c>
      <c r="J41">
        <v>61.7</v>
      </c>
    </row>
    <row r="42" spans="1:10" ht="12.75">
      <c r="A42" t="s">
        <v>92</v>
      </c>
      <c r="B42" t="s">
        <v>93</v>
      </c>
      <c r="C42" s="6">
        <v>332</v>
      </c>
      <c r="D42" s="6" t="s">
        <v>15</v>
      </c>
      <c r="E42">
        <v>60.4</v>
      </c>
      <c r="F42">
        <v>63.7</v>
      </c>
      <c r="G42">
        <v>61.5</v>
      </c>
      <c r="H42">
        <v>61.5</v>
      </c>
      <c r="I42">
        <v>60.5</v>
      </c>
      <c r="J42">
        <v>58</v>
      </c>
    </row>
    <row r="43" spans="1:10" ht="12.75">
      <c r="A43" t="s">
        <v>94</v>
      </c>
      <c r="B43" t="s">
        <v>95</v>
      </c>
      <c r="C43" s="6" t="s">
        <v>15</v>
      </c>
      <c r="D43" s="6" t="s">
        <v>15</v>
      </c>
      <c r="E43" t="s">
        <v>96</v>
      </c>
      <c r="F43"/>
      <c r="G43"/>
      <c r="H43"/>
      <c r="I43"/>
      <c r="J43"/>
    </row>
    <row r="44" spans="1:10" ht="12.75">
      <c r="A44" t="s">
        <v>97</v>
      </c>
      <c r="B44" t="s">
        <v>98</v>
      </c>
      <c r="C44" s="6" t="s">
        <v>15</v>
      </c>
      <c r="D44" s="6" t="s">
        <v>15</v>
      </c>
      <c r="E44">
        <v>68.5</v>
      </c>
      <c r="F44">
        <v>72</v>
      </c>
      <c r="G44">
        <v>70.4</v>
      </c>
      <c r="H44">
        <v>70.4</v>
      </c>
      <c r="I44">
        <v>69.2</v>
      </c>
      <c r="J44">
        <v>65.7</v>
      </c>
    </row>
    <row r="45" spans="1:10" ht="12.75">
      <c r="A45" t="s">
        <v>99</v>
      </c>
      <c r="B45" t="s">
        <v>100</v>
      </c>
      <c r="C45" s="6" t="s">
        <v>15</v>
      </c>
      <c r="D45" s="6" t="s">
        <v>15</v>
      </c>
      <c r="E45">
        <v>83.3</v>
      </c>
      <c r="F45">
        <v>87.5</v>
      </c>
      <c r="G45">
        <v>86.2</v>
      </c>
      <c r="H45">
        <v>86.2</v>
      </c>
      <c r="I45">
        <v>82.5</v>
      </c>
      <c r="J45">
        <v>80</v>
      </c>
    </row>
    <row r="46" spans="1:10" ht="12.75">
      <c r="A46" t="s">
        <v>101</v>
      </c>
      <c r="B46" t="s">
        <v>102</v>
      </c>
      <c r="C46" s="6">
        <v>310</v>
      </c>
      <c r="D46" s="6" t="s">
        <v>15</v>
      </c>
      <c r="E46">
        <v>71.3</v>
      </c>
      <c r="F46">
        <v>75.5</v>
      </c>
      <c r="G46">
        <v>73</v>
      </c>
      <c r="H46">
        <v>73</v>
      </c>
      <c r="I46">
        <v>70.1</v>
      </c>
      <c r="J46">
        <v>66.3</v>
      </c>
    </row>
    <row r="47" spans="1:10" ht="12.75">
      <c r="A47" t="s">
        <v>103</v>
      </c>
      <c r="B47" t="s">
        <v>35</v>
      </c>
      <c r="C47" s="6">
        <v>330</v>
      </c>
      <c r="D47" s="6" t="s">
        <v>15</v>
      </c>
      <c r="E47">
        <v>62.4</v>
      </c>
      <c r="F47">
        <v>65.4</v>
      </c>
      <c r="G47">
        <v>63.9</v>
      </c>
      <c r="H47">
        <v>63.9</v>
      </c>
      <c r="I47">
        <v>61.3</v>
      </c>
      <c r="J47">
        <v>59.5</v>
      </c>
    </row>
    <row r="48" spans="1:10" ht="12.75">
      <c r="A48" t="s">
        <v>104</v>
      </c>
      <c r="B48" t="s">
        <v>105</v>
      </c>
      <c r="C48" s="6">
        <v>308</v>
      </c>
      <c r="D48" s="6" t="s">
        <v>15</v>
      </c>
      <c r="E48">
        <v>62.1</v>
      </c>
      <c r="F48">
        <v>65.3</v>
      </c>
      <c r="G48">
        <v>63.6</v>
      </c>
      <c r="H48">
        <v>63.6</v>
      </c>
      <c r="I48">
        <v>61.2</v>
      </c>
      <c r="J48">
        <v>59.5</v>
      </c>
    </row>
    <row r="49" spans="1:10" ht="12.75">
      <c r="A49" t="s">
        <v>106</v>
      </c>
      <c r="B49" t="s">
        <v>107</v>
      </c>
      <c r="C49" s="6" t="s">
        <v>15</v>
      </c>
      <c r="D49" s="6" t="s">
        <v>15</v>
      </c>
      <c r="E49" t="s">
        <v>108</v>
      </c>
      <c r="F49"/>
      <c r="G49"/>
      <c r="H49"/>
      <c r="I49"/>
      <c r="J49"/>
    </row>
    <row r="50" spans="1:10" ht="12.75">
      <c r="A50" t="s">
        <v>109</v>
      </c>
      <c r="B50" t="s">
        <v>110</v>
      </c>
      <c r="C50" s="6" t="s">
        <v>15</v>
      </c>
      <c r="D50" s="6" t="s">
        <v>15</v>
      </c>
      <c r="E50">
        <v>92.1</v>
      </c>
      <c r="F50">
        <v>95.8</v>
      </c>
      <c r="G50">
        <v>92.7</v>
      </c>
      <c r="H50">
        <v>92.7</v>
      </c>
      <c r="I50">
        <v>89.5</v>
      </c>
      <c r="J50">
        <v>89.2</v>
      </c>
    </row>
    <row r="51" spans="1:10" ht="12.75">
      <c r="A51" t="s">
        <v>111</v>
      </c>
      <c r="B51" t="s">
        <v>112</v>
      </c>
      <c r="C51" s="6" t="s">
        <v>15</v>
      </c>
      <c r="D51" s="6" t="s">
        <v>15</v>
      </c>
      <c r="E51">
        <v>74.3</v>
      </c>
      <c r="F51">
        <v>78.4</v>
      </c>
      <c r="G51">
        <v>74.3</v>
      </c>
      <c r="H51">
        <v>74.3</v>
      </c>
      <c r="I51">
        <v>73.8</v>
      </c>
      <c r="J51">
        <v>70.1</v>
      </c>
    </row>
    <row r="52" spans="1:10" ht="12.75">
      <c r="A52" t="s">
        <v>113</v>
      </c>
      <c r="B52" t="s">
        <v>114</v>
      </c>
      <c r="C52" s="6" t="s">
        <v>15</v>
      </c>
      <c r="D52" s="6" t="s">
        <v>15</v>
      </c>
      <c r="E52">
        <v>77.2</v>
      </c>
      <c r="F52">
        <v>82</v>
      </c>
      <c r="G52">
        <v>77.5</v>
      </c>
      <c r="H52">
        <v>77.5</v>
      </c>
      <c r="I52">
        <v>76.7</v>
      </c>
      <c r="J52">
        <v>72</v>
      </c>
    </row>
    <row r="53" spans="1:10" ht="12.75">
      <c r="A53" t="s">
        <v>115</v>
      </c>
      <c r="B53" t="s">
        <v>116</v>
      </c>
      <c r="C53" s="6" t="s">
        <v>15</v>
      </c>
      <c r="D53" s="6" t="s">
        <v>15</v>
      </c>
      <c r="E53">
        <v>76.2</v>
      </c>
      <c r="F53">
        <v>80.3</v>
      </c>
      <c r="G53">
        <v>78</v>
      </c>
      <c r="H53">
        <v>78</v>
      </c>
      <c r="I53">
        <v>75.5</v>
      </c>
      <c r="J53">
        <v>72</v>
      </c>
    </row>
    <row r="54" spans="1:10" ht="12.75">
      <c r="A54" t="s">
        <v>117</v>
      </c>
      <c r="B54" t="s">
        <v>118</v>
      </c>
      <c r="C54" s="6" t="s">
        <v>15</v>
      </c>
      <c r="D54" s="6" t="s">
        <v>15</v>
      </c>
      <c r="E54">
        <v>58</v>
      </c>
      <c r="F54">
        <v>61</v>
      </c>
      <c r="G54">
        <v>59</v>
      </c>
      <c r="H54">
        <v>59</v>
      </c>
      <c r="I54">
        <v>57.5</v>
      </c>
      <c r="J54">
        <v>55</v>
      </c>
    </row>
    <row r="55" spans="1:10" ht="12.75">
      <c r="A55" t="s">
        <v>119</v>
      </c>
      <c r="B55" t="s">
        <v>120</v>
      </c>
      <c r="C55" s="6" t="s">
        <v>15</v>
      </c>
      <c r="D55" s="6" t="s">
        <v>15</v>
      </c>
      <c r="E55">
        <v>78.8</v>
      </c>
      <c r="F55">
        <v>82.7</v>
      </c>
      <c r="G55">
        <v>81.4</v>
      </c>
      <c r="H55">
        <v>81.4</v>
      </c>
      <c r="I55">
        <v>77.3</v>
      </c>
      <c r="J55">
        <v>75.7</v>
      </c>
    </row>
    <row r="56" spans="1:10" ht="12.75">
      <c r="A56" t="s">
        <v>121</v>
      </c>
      <c r="B56" t="s">
        <v>122</v>
      </c>
      <c r="C56" s="6"/>
      <c r="D56" s="6"/>
      <c r="E56">
        <v>83</v>
      </c>
      <c r="F56" t="s">
        <v>123</v>
      </c>
      <c r="G56">
        <v>86.3</v>
      </c>
      <c r="H56">
        <v>86.3</v>
      </c>
      <c r="I56" t="s">
        <v>124</v>
      </c>
      <c r="J56" t="s">
        <v>125</v>
      </c>
    </row>
    <row r="57" spans="1:10" ht="12.75">
      <c r="A57" t="s">
        <v>126</v>
      </c>
      <c r="B57" t="s">
        <v>127</v>
      </c>
      <c r="C57" s="6">
        <v>260</v>
      </c>
      <c r="D57" s="6" t="s">
        <v>15</v>
      </c>
      <c r="E57">
        <v>75.6</v>
      </c>
      <c r="F57"/>
      <c r="G57"/>
      <c r="H57"/>
      <c r="I57">
        <v>-77</v>
      </c>
      <c r="J57">
        <v>-70.1</v>
      </c>
    </row>
    <row r="58" spans="1:10" ht="12.75">
      <c r="A58" t="s">
        <v>128</v>
      </c>
      <c r="B58" t="s">
        <v>129</v>
      </c>
      <c r="C58" s="6">
        <v>280</v>
      </c>
      <c r="D58" s="6" t="s">
        <v>15</v>
      </c>
      <c r="E58">
        <v>66.2</v>
      </c>
      <c r="F58">
        <v>70.9</v>
      </c>
      <c r="G58">
        <v>68.8</v>
      </c>
      <c r="H58">
        <v>68.8</v>
      </c>
      <c r="I58">
        <v>65.7</v>
      </c>
      <c r="J58">
        <v>61.9</v>
      </c>
    </row>
    <row r="59" spans="1:10" ht="12.75">
      <c r="A59" t="s">
        <v>130</v>
      </c>
      <c r="B59" t="s">
        <v>131</v>
      </c>
      <c r="C59" s="6">
        <v>315</v>
      </c>
      <c r="D59" s="6" t="s">
        <v>15</v>
      </c>
      <c r="E59">
        <v>63.9</v>
      </c>
      <c r="F59">
        <v>68.4</v>
      </c>
      <c r="G59">
        <v>66.5</v>
      </c>
      <c r="H59">
        <v>66.5</v>
      </c>
      <c r="I59">
        <v>64</v>
      </c>
      <c r="J59">
        <v>61.2</v>
      </c>
    </row>
    <row r="60" spans="1:10" ht="12.75">
      <c r="A60" t="s">
        <v>132</v>
      </c>
      <c r="B60" t="s">
        <v>133</v>
      </c>
      <c r="C60" s="6">
        <v>315</v>
      </c>
      <c r="D60" s="6" t="s">
        <v>15</v>
      </c>
      <c r="E60">
        <v>64.2</v>
      </c>
      <c r="F60">
        <v>69</v>
      </c>
      <c r="G60">
        <v>66.9</v>
      </c>
      <c r="H60">
        <v>66.9</v>
      </c>
      <c r="I60">
        <v>63.7</v>
      </c>
      <c r="J60">
        <v>60.2</v>
      </c>
    </row>
    <row r="61" spans="1:10" ht="12.75">
      <c r="A61" t="s">
        <v>134</v>
      </c>
      <c r="B61" t="s">
        <v>35</v>
      </c>
      <c r="C61" s="6">
        <v>330</v>
      </c>
      <c r="D61" s="6" t="s">
        <v>15</v>
      </c>
      <c r="E61"/>
      <c r="F61"/>
      <c r="G61"/>
      <c r="H61"/>
      <c r="I61"/>
      <c r="J61"/>
    </row>
    <row r="62" spans="1:10" ht="12.75">
      <c r="A62" t="s">
        <v>135</v>
      </c>
      <c r="B62" t="s">
        <v>136</v>
      </c>
      <c r="C62" s="6">
        <v>220</v>
      </c>
      <c r="D62" s="6" t="s">
        <v>15</v>
      </c>
      <c r="E62">
        <v>76.6</v>
      </c>
      <c r="F62">
        <v>80.5</v>
      </c>
      <c r="G62">
        <v>79.8</v>
      </c>
      <c r="H62">
        <v>79.8</v>
      </c>
      <c r="I62">
        <v>77</v>
      </c>
      <c r="J62">
        <v>74.4</v>
      </c>
    </row>
    <row r="63" spans="1:10" ht="12.75">
      <c r="A63" t="s">
        <v>137</v>
      </c>
      <c r="B63" t="s">
        <v>138</v>
      </c>
      <c r="C63" s="6">
        <v>260</v>
      </c>
      <c r="D63" s="6" t="s">
        <v>15</v>
      </c>
      <c r="E63">
        <v>77</v>
      </c>
      <c r="F63">
        <v>80.5</v>
      </c>
      <c r="G63">
        <v>78.5</v>
      </c>
      <c r="H63">
        <v>78.5</v>
      </c>
      <c r="I63">
        <v>76.2</v>
      </c>
      <c r="J63">
        <v>73</v>
      </c>
    </row>
    <row r="64" spans="1:10" ht="12.75">
      <c r="A64" t="s">
        <v>139</v>
      </c>
      <c r="B64" t="s">
        <v>140</v>
      </c>
      <c r="C64" s="6">
        <v>280</v>
      </c>
      <c r="D64" s="6" t="s">
        <v>15</v>
      </c>
      <c r="E64">
        <v>72.1</v>
      </c>
      <c r="F64">
        <v>78</v>
      </c>
      <c r="G64">
        <v>74.8</v>
      </c>
      <c r="H64">
        <v>74.8</v>
      </c>
      <c r="I64">
        <v>71.6</v>
      </c>
      <c r="J64">
        <v>67.4</v>
      </c>
    </row>
    <row r="65" spans="1:10" ht="12.75">
      <c r="A65" t="s">
        <v>141</v>
      </c>
      <c r="B65" t="s">
        <v>142</v>
      </c>
      <c r="C65" s="6">
        <v>275</v>
      </c>
      <c r="D65" s="6" t="s">
        <v>15</v>
      </c>
      <c r="E65">
        <v>67</v>
      </c>
      <c r="F65">
        <v>73.5</v>
      </c>
      <c r="G65">
        <v>69.5</v>
      </c>
      <c r="H65">
        <v>69.5</v>
      </c>
      <c r="I65">
        <v>65.7</v>
      </c>
      <c r="J65">
        <v>61.2</v>
      </c>
    </row>
    <row r="66" spans="1:10" ht="12.75">
      <c r="A66" t="s">
        <v>143</v>
      </c>
      <c r="B66" t="s">
        <v>17</v>
      </c>
      <c r="C66" s="6"/>
      <c r="D66" s="6"/>
      <c r="E66"/>
      <c r="F66"/>
      <c r="G66"/>
      <c r="H66"/>
      <c r="I66"/>
      <c r="J66"/>
    </row>
    <row r="67" spans="1:10" ht="12.75">
      <c r="A67" t="s">
        <v>144</v>
      </c>
      <c r="B67" t="s">
        <v>145</v>
      </c>
      <c r="C67" s="6">
        <v>150</v>
      </c>
      <c r="D67" s="6" t="s">
        <v>15</v>
      </c>
      <c r="E67">
        <v>69.7</v>
      </c>
      <c r="F67">
        <v>74.4</v>
      </c>
      <c r="G67">
        <v>71.9</v>
      </c>
      <c r="H67">
        <v>71.9</v>
      </c>
      <c r="I67">
        <v>69</v>
      </c>
      <c r="J67">
        <v>64.5</v>
      </c>
    </row>
    <row r="68" spans="1:10" ht="12.75">
      <c r="A68" t="s">
        <v>146</v>
      </c>
      <c r="B68" t="s">
        <v>147</v>
      </c>
      <c r="C68" s="6">
        <v>290</v>
      </c>
      <c r="D68" s="6"/>
      <c r="E68">
        <v>72.6</v>
      </c>
      <c r="F68">
        <v>75.5</v>
      </c>
      <c r="G68">
        <v>74.8</v>
      </c>
      <c r="H68">
        <v>74.8</v>
      </c>
      <c r="I68">
        <v>72.2</v>
      </c>
      <c r="J68">
        <v>68.6</v>
      </c>
    </row>
    <row r="69" spans="1:10" ht="12.75">
      <c r="A69" t="s">
        <v>148</v>
      </c>
      <c r="B69" t="s">
        <v>149</v>
      </c>
      <c r="C69" s="6">
        <v>290</v>
      </c>
      <c r="D69" s="6" t="s">
        <v>15</v>
      </c>
      <c r="E69">
        <v>66.6</v>
      </c>
      <c r="F69">
        <v>72.1</v>
      </c>
      <c r="G69">
        <v>69.3</v>
      </c>
      <c r="H69">
        <v>69.3</v>
      </c>
      <c r="I69">
        <v>65.7</v>
      </c>
      <c r="J69">
        <v>62.2</v>
      </c>
    </row>
    <row r="70" spans="1:10" ht="12.75">
      <c r="A70" t="s">
        <v>150</v>
      </c>
      <c r="B70" t="s">
        <v>151</v>
      </c>
      <c r="C70" s="6">
        <v>290</v>
      </c>
      <c r="D70" s="6" t="s">
        <v>15</v>
      </c>
      <c r="E70">
        <v>66.5</v>
      </c>
      <c r="F70">
        <v>70.4</v>
      </c>
      <c r="G70">
        <v>68.5</v>
      </c>
      <c r="H70">
        <v>68.5</v>
      </c>
      <c r="I70">
        <v>65.4</v>
      </c>
      <c r="J70">
        <v>62</v>
      </c>
    </row>
    <row r="71" spans="1:10" ht="12.75">
      <c r="A71" t="s">
        <v>152</v>
      </c>
      <c r="B71" t="s">
        <v>153</v>
      </c>
      <c r="C71" s="6" t="s">
        <v>15</v>
      </c>
      <c r="D71" s="6" t="s">
        <v>15</v>
      </c>
      <c r="E71">
        <v>76.4</v>
      </c>
      <c r="F71">
        <v>80.3</v>
      </c>
      <c r="G71">
        <v>78.8</v>
      </c>
      <c r="H71">
        <v>78.8</v>
      </c>
      <c r="I71">
        <v>76.1</v>
      </c>
      <c r="J71">
        <v>72.6</v>
      </c>
    </row>
    <row r="72" spans="1:10" ht="12.75">
      <c r="A72" t="s">
        <v>154</v>
      </c>
      <c r="B72" t="s">
        <v>155</v>
      </c>
      <c r="C72" s="6">
        <v>290</v>
      </c>
      <c r="D72" s="6" t="s">
        <v>15</v>
      </c>
      <c r="E72">
        <v>70.5</v>
      </c>
      <c r="F72">
        <v>75</v>
      </c>
      <c r="G72">
        <v>73.7</v>
      </c>
      <c r="H72">
        <v>73.7</v>
      </c>
      <c r="I72">
        <v>70.5</v>
      </c>
      <c r="J72">
        <v>66.3</v>
      </c>
    </row>
    <row r="73" spans="1:10" ht="12.75">
      <c r="A73" t="s">
        <v>156</v>
      </c>
      <c r="B73" t="s">
        <v>157</v>
      </c>
      <c r="C73" s="6">
        <v>325</v>
      </c>
      <c r="D73" s="6" t="s">
        <v>15</v>
      </c>
      <c r="E73">
        <v>62.6</v>
      </c>
      <c r="F73">
        <v>65.4</v>
      </c>
      <c r="G73">
        <v>64.3</v>
      </c>
      <c r="H73">
        <v>64.3</v>
      </c>
      <c r="I73">
        <v>61.9</v>
      </c>
      <c r="J73">
        <v>59.5</v>
      </c>
    </row>
    <row r="74" spans="1:10" ht="12.75">
      <c r="A74" t="s">
        <v>158</v>
      </c>
      <c r="B74" t="s">
        <v>159</v>
      </c>
      <c r="C74" s="6">
        <v>325</v>
      </c>
      <c r="D74" s="6" t="s">
        <v>15</v>
      </c>
      <c r="E74">
        <v>62.7</v>
      </c>
      <c r="F74">
        <v>65.9</v>
      </c>
      <c r="G74">
        <v>64.1</v>
      </c>
      <c r="H74">
        <v>64.1</v>
      </c>
      <c r="I74">
        <v>61.7</v>
      </c>
      <c r="J74">
        <v>59.6</v>
      </c>
    </row>
    <row r="75" spans="1:9" ht="12.75">
      <c r="A75" t="s">
        <v>160</v>
      </c>
      <c r="B75" t="s">
        <v>161</v>
      </c>
      <c r="C75" s="6" t="s">
        <v>15</v>
      </c>
      <c r="D75" s="6" t="s">
        <v>15</v>
      </c>
      <c r="E75" s="7">
        <v>60.3</v>
      </c>
      <c r="F75" s="7">
        <v>63.4</v>
      </c>
      <c r="G75" s="7">
        <v>62</v>
      </c>
      <c r="H75" s="7">
        <v>62</v>
      </c>
      <c r="I75" s="7">
        <v>60.1</v>
      </c>
    </row>
    <row r="76" spans="1:10" ht="12.75">
      <c r="A76" t="s">
        <v>162</v>
      </c>
      <c r="B76" t="s">
        <v>35</v>
      </c>
      <c r="C76" s="6">
        <v>330</v>
      </c>
      <c r="D76" s="6" t="s">
        <v>15</v>
      </c>
      <c r="E76"/>
      <c r="F76"/>
      <c r="G76"/>
      <c r="H76"/>
      <c r="I76"/>
      <c r="J76"/>
    </row>
    <row r="77" spans="1:10" ht="12.75">
      <c r="A77" t="s">
        <v>163</v>
      </c>
      <c r="B77" t="s">
        <v>164</v>
      </c>
      <c r="C77" s="6">
        <v>175</v>
      </c>
      <c r="D77" s="6">
        <v>1</v>
      </c>
      <c r="E77">
        <v>66.7</v>
      </c>
      <c r="F77">
        <v>69</v>
      </c>
      <c r="G77">
        <v>68</v>
      </c>
      <c r="H77">
        <v>68</v>
      </c>
      <c r="I77">
        <v>66.6</v>
      </c>
      <c r="J77">
        <v>65</v>
      </c>
    </row>
    <row r="78" spans="1:10" ht="12.75">
      <c r="A78" t="s">
        <v>165</v>
      </c>
      <c r="B78" t="s">
        <v>166</v>
      </c>
      <c r="C78" s="6">
        <v>145</v>
      </c>
      <c r="D78" s="6">
        <v>1</v>
      </c>
      <c r="E78">
        <v>73.2</v>
      </c>
      <c r="F78">
        <v>75.7</v>
      </c>
      <c r="G78">
        <v>75</v>
      </c>
      <c r="H78">
        <v>75</v>
      </c>
      <c r="I78">
        <v>73.2</v>
      </c>
      <c r="J78">
        <v>71</v>
      </c>
    </row>
    <row r="79" spans="1:10" ht="12.75">
      <c r="A79" t="s">
        <v>167</v>
      </c>
      <c r="B79" t="s">
        <v>168</v>
      </c>
      <c r="C79" s="6">
        <v>280</v>
      </c>
      <c r="D79" s="6">
        <v>2</v>
      </c>
      <c r="E79">
        <v>64.6</v>
      </c>
      <c r="F79">
        <v>67.9</v>
      </c>
      <c r="G79">
        <v>65.6</v>
      </c>
      <c r="H79">
        <v>65.6</v>
      </c>
      <c r="I79">
        <v>64.4</v>
      </c>
      <c r="J79">
        <v>60.5</v>
      </c>
    </row>
    <row r="80" spans="1:10" ht="12.75">
      <c r="A80" t="s">
        <v>169</v>
      </c>
      <c r="B80" t="s">
        <v>170</v>
      </c>
      <c r="C80" s="6">
        <v>325</v>
      </c>
      <c r="D80" s="6">
        <v>2</v>
      </c>
      <c r="E80">
        <v>59.3</v>
      </c>
      <c r="F80">
        <v>61.9</v>
      </c>
      <c r="G80">
        <v>60.2</v>
      </c>
      <c r="H80">
        <v>60.2</v>
      </c>
      <c r="I80">
        <v>58.5</v>
      </c>
      <c r="J80">
        <v>57.6</v>
      </c>
    </row>
    <row r="81" spans="1:10" ht="12.75">
      <c r="A81" t="s">
        <v>171</v>
      </c>
      <c r="B81" t="s">
        <v>172</v>
      </c>
      <c r="C81" s="6" t="s">
        <v>15</v>
      </c>
      <c r="D81" s="6" t="s">
        <v>15</v>
      </c>
      <c r="E81">
        <v>77.8</v>
      </c>
      <c r="F81">
        <v>83.9</v>
      </c>
      <c r="G81">
        <v>80</v>
      </c>
      <c r="H81">
        <v>80</v>
      </c>
      <c r="I81">
        <v>77.5</v>
      </c>
      <c r="J81">
        <v>73.3</v>
      </c>
    </row>
    <row r="82" spans="1:10" ht="12.75">
      <c r="A82" t="s">
        <v>173</v>
      </c>
      <c r="B82" t="s">
        <v>174</v>
      </c>
      <c r="C82" s="6" t="s">
        <v>15</v>
      </c>
      <c r="D82" s="6" t="s">
        <v>15</v>
      </c>
      <c r="E82">
        <v>82</v>
      </c>
      <c r="F82"/>
      <c r="G82"/>
      <c r="H82"/>
      <c r="I82">
        <v>81.9</v>
      </c>
      <c r="J82"/>
    </row>
    <row r="83" spans="1:10" ht="12.75">
      <c r="A83" t="s">
        <v>175</v>
      </c>
      <c r="B83" t="s">
        <v>176</v>
      </c>
      <c r="C83" s="6">
        <v>150</v>
      </c>
      <c r="D83" s="6">
        <v>1</v>
      </c>
      <c r="E83">
        <v>76.2</v>
      </c>
      <c r="F83">
        <v>81.5</v>
      </c>
      <c r="G83">
        <v>78.3</v>
      </c>
      <c r="H83">
        <v>78.3</v>
      </c>
      <c r="I83">
        <v>75.7</v>
      </c>
      <c r="J83">
        <v>72.1</v>
      </c>
    </row>
    <row r="84" spans="1:10" ht="12.75">
      <c r="A84" t="s">
        <v>177</v>
      </c>
      <c r="B84" t="s">
        <v>178</v>
      </c>
      <c r="C84" s="6">
        <v>260</v>
      </c>
      <c r="D84" s="6">
        <v>2</v>
      </c>
      <c r="E84">
        <v>77.5</v>
      </c>
      <c r="F84">
        <v>84.1</v>
      </c>
      <c r="G84">
        <v>80.7</v>
      </c>
      <c r="H84">
        <v>80.7</v>
      </c>
      <c r="I84">
        <v>76.3</v>
      </c>
      <c r="J84">
        <v>71.3</v>
      </c>
    </row>
    <row r="85" spans="1:10" ht="12.75">
      <c r="A85" t="s">
        <v>179</v>
      </c>
      <c r="B85" t="s">
        <v>180</v>
      </c>
      <c r="C85" s="6">
        <v>300</v>
      </c>
      <c r="D85" s="6">
        <v>2</v>
      </c>
      <c r="E85">
        <v>74.8</v>
      </c>
      <c r="F85">
        <v>81</v>
      </c>
      <c r="G85">
        <v>77.8</v>
      </c>
      <c r="H85">
        <v>77.8</v>
      </c>
      <c r="I85">
        <v>74.7</v>
      </c>
      <c r="J85">
        <v>70.5</v>
      </c>
    </row>
    <row r="86" spans="1:10" ht="12.75">
      <c r="A86" t="s">
        <v>181</v>
      </c>
      <c r="B86" t="s">
        <v>182</v>
      </c>
      <c r="C86" s="6">
        <v>275</v>
      </c>
      <c r="D86" s="6">
        <v>2</v>
      </c>
      <c r="E86">
        <v>69.1</v>
      </c>
      <c r="F86">
        <v>72.6</v>
      </c>
      <c r="G86">
        <v>71.7</v>
      </c>
      <c r="H86">
        <v>71.7</v>
      </c>
      <c r="I86">
        <v>68.7</v>
      </c>
      <c r="J86">
        <v>65.1</v>
      </c>
    </row>
    <row r="87" spans="1:10" ht="12.75">
      <c r="A87" t="s">
        <v>183</v>
      </c>
      <c r="B87" t="s">
        <v>184</v>
      </c>
      <c r="C87" s="6">
        <v>295</v>
      </c>
      <c r="D87" s="6">
        <v>2</v>
      </c>
      <c r="E87">
        <v>66.4</v>
      </c>
      <c r="F87">
        <v>71.7</v>
      </c>
      <c r="G87">
        <v>68.9</v>
      </c>
      <c r="H87">
        <v>68.9</v>
      </c>
      <c r="I87">
        <v>64.5</v>
      </c>
      <c r="J87">
        <v>62.3</v>
      </c>
    </row>
    <row r="88" spans="1:10" ht="12.75">
      <c r="A88" t="s">
        <v>185</v>
      </c>
      <c r="B88" t="s">
        <v>186</v>
      </c>
      <c r="C88" s="6">
        <v>295</v>
      </c>
      <c r="D88" s="6">
        <v>2</v>
      </c>
      <c r="E88">
        <v>64.4</v>
      </c>
      <c r="F88">
        <v>69.2</v>
      </c>
      <c r="G88">
        <v>66.6</v>
      </c>
      <c r="H88">
        <v>66.6</v>
      </c>
      <c r="I88">
        <v>64</v>
      </c>
      <c r="J88">
        <v>61</v>
      </c>
    </row>
    <row r="89" spans="1:10" ht="12.75">
      <c r="A89" t="s">
        <v>187</v>
      </c>
      <c r="B89" t="s">
        <v>188</v>
      </c>
      <c r="C89" s="6" t="s">
        <v>15</v>
      </c>
      <c r="D89" s="6" t="s">
        <v>15</v>
      </c>
      <c r="E89" t="s">
        <v>189</v>
      </c>
      <c r="F89"/>
      <c r="G89"/>
      <c r="H89"/>
      <c r="I89"/>
      <c r="J89"/>
    </row>
    <row r="90" spans="1:10" ht="12.75">
      <c r="A90" t="s">
        <v>190</v>
      </c>
      <c r="B90" t="s">
        <v>191</v>
      </c>
      <c r="C90" s="6" t="s">
        <v>15</v>
      </c>
      <c r="D90" s="6" t="s">
        <v>15</v>
      </c>
      <c r="E90" t="s">
        <v>192</v>
      </c>
      <c r="F90"/>
      <c r="G90"/>
      <c r="H90"/>
      <c r="I90"/>
      <c r="J90"/>
    </row>
    <row r="91" spans="1:10" ht="12.75">
      <c r="A91" t="s">
        <v>193</v>
      </c>
      <c r="B91" t="s">
        <v>194</v>
      </c>
      <c r="C91" s="6" t="s">
        <v>15</v>
      </c>
      <c r="D91" s="6" t="s">
        <v>15</v>
      </c>
      <c r="E91">
        <v>56.5</v>
      </c>
      <c r="F91">
        <v>59.3</v>
      </c>
      <c r="G91">
        <v>57.7</v>
      </c>
      <c r="H91">
        <v>57.7</v>
      </c>
      <c r="I91">
        <v>56.5</v>
      </c>
      <c r="J91"/>
    </row>
    <row r="92" spans="1:10" ht="12.75">
      <c r="A92" t="s">
        <v>195</v>
      </c>
      <c r="B92" t="s">
        <v>196</v>
      </c>
      <c r="C92" s="6" t="s">
        <v>15</v>
      </c>
      <c r="D92" s="6" t="s">
        <v>15</v>
      </c>
      <c r="E92">
        <v>53.1</v>
      </c>
      <c r="F92">
        <v>55.5</v>
      </c>
      <c r="G92">
        <v>54</v>
      </c>
      <c r="H92">
        <v>54</v>
      </c>
      <c r="I92">
        <v>52.3</v>
      </c>
      <c r="J92">
        <v>50.2</v>
      </c>
    </row>
    <row r="93" spans="1:10" ht="12.75">
      <c r="A93" t="s">
        <v>197</v>
      </c>
      <c r="B93" t="s">
        <v>198</v>
      </c>
      <c r="C93" s="6" t="s">
        <v>15</v>
      </c>
      <c r="D93" s="6" t="s">
        <v>15</v>
      </c>
      <c r="E93" t="s">
        <v>199</v>
      </c>
      <c r="F93"/>
      <c r="G93"/>
      <c r="H93"/>
      <c r="I93"/>
      <c r="J93"/>
    </row>
    <row r="94" spans="1:10" ht="12.75">
      <c r="A94" t="s">
        <v>200</v>
      </c>
      <c r="B94" t="s">
        <v>201</v>
      </c>
      <c r="C94" s="6" t="s">
        <v>15</v>
      </c>
      <c r="D94" s="6" t="s">
        <v>15</v>
      </c>
      <c r="E94">
        <v>81.5</v>
      </c>
      <c r="F94"/>
      <c r="G94"/>
      <c r="H94"/>
      <c r="I94"/>
      <c r="J94"/>
    </row>
    <row r="95" spans="1:10" ht="12.75">
      <c r="A95" t="s">
        <v>202</v>
      </c>
      <c r="B95" t="s">
        <v>203</v>
      </c>
      <c r="C95" s="6" t="s">
        <v>15</v>
      </c>
      <c r="D95" s="6" t="s">
        <v>15</v>
      </c>
      <c r="E95">
        <v>60.1</v>
      </c>
      <c r="F95"/>
      <c r="G95"/>
      <c r="H95"/>
      <c r="I95"/>
      <c r="J95"/>
    </row>
    <row r="96" spans="1:10" ht="12.75">
      <c r="A96" t="s">
        <v>204</v>
      </c>
      <c r="B96" t="s">
        <v>205</v>
      </c>
      <c r="C96" s="6" t="s">
        <v>15</v>
      </c>
      <c r="D96" s="6" t="s">
        <v>15</v>
      </c>
      <c r="E96">
        <v>77.9</v>
      </c>
      <c r="F96">
        <v>85.1</v>
      </c>
      <c r="G96">
        <v>80.7</v>
      </c>
      <c r="H96">
        <v>80.7</v>
      </c>
      <c r="I96">
        <v>76.1</v>
      </c>
      <c r="J96">
        <v>73</v>
      </c>
    </row>
    <row r="97" spans="1:10" ht="12.75">
      <c r="A97" t="s">
        <v>206</v>
      </c>
      <c r="B97" t="s">
        <v>207</v>
      </c>
      <c r="C97" s="6" t="s">
        <v>15</v>
      </c>
      <c r="D97" s="6" t="s">
        <v>15</v>
      </c>
      <c r="E97">
        <v>73</v>
      </c>
      <c r="F97">
        <v>77.1</v>
      </c>
      <c r="G97">
        <v>75.4</v>
      </c>
      <c r="H97">
        <v>75.4</v>
      </c>
      <c r="I97">
        <v>73.2</v>
      </c>
      <c r="J97">
        <v>68</v>
      </c>
    </row>
    <row r="98" spans="1:10" ht="12.75">
      <c r="A98" t="s">
        <v>208</v>
      </c>
      <c r="B98" t="s">
        <v>209</v>
      </c>
      <c r="C98" s="6" t="s">
        <v>15</v>
      </c>
      <c r="D98" s="6" t="s">
        <v>15</v>
      </c>
      <c r="E98" t="s">
        <v>210</v>
      </c>
      <c r="F98"/>
      <c r="G98"/>
      <c r="H98"/>
      <c r="I98"/>
      <c r="J98"/>
    </row>
    <row r="99" spans="1:10" ht="12.75">
      <c r="A99" t="s">
        <v>211</v>
      </c>
      <c r="B99" t="s">
        <v>212</v>
      </c>
      <c r="C99" s="6" t="s">
        <v>15</v>
      </c>
      <c r="D99" s="6" t="s">
        <v>15</v>
      </c>
      <c r="E99">
        <v>66.3</v>
      </c>
      <c r="F99">
        <v>70.5</v>
      </c>
      <c r="G99">
        <v>67.5</v>
      </c>
      <c r="H99">
        <v>67.5</v>
      </c>
      <c r="I99">
        <v>65.4</v>
      </c>
      <c r="J99">
        <v>61.3</v>
      </c>
    </row>
    <row r="100" spans="1:10" ht="12.75">
      <c r="A100" t="s">
        <v>213</v>
      </c>
      <c r="B100" t="s">
        <v>214</v>
      </c>
      <c r="C100" s="6" t="s">
        <v>15</v>
      </c>
      <c r="D100" s="6" t="s">
        <v>15</v>
      </c>
      <c r="E100">
        <v>74.8</v>
      </c>
      <c r="F100">
        <v>79</v>
      </c>
      <c r="G100">
        <v>76.6</v>
      </c>
      <c r="H100">
        <v>76.6</v>
      </c>
      <c r="I100">
        <v>75.4</v>
      </c>
      <c r="J100">
        <v>69.5</v>
      </c>
    </row>
    <row r="101" spans="1:10" ht="12.75">
      <c r="A101" t="s">
        <v>215</v>
      </c>
      <c r="B101" t="s">
        <v>216</v>
      </c>
      <c r="C101" s="6" t="s">
        <v>15</v>
      </c>
      <c r="D101" s="6" t="s">
        <v>15</v>
      </c>
      <c r="E101">
        <v>64.7</v>
      </c>
      <c r="F101"/>
      <c r="G101"/>
      <c r="H101"/>
      <c r="I101"/>
      <c r="J101"/>
    </row>
    <row r="102" spans="1:10" ht="12.75">
      <c r="A102" t="s">
        <v>217</v>
      </c>
      <c r="B102" t="s">
        <v>218</v>
      </c>
      <c r="C102" s="6" t="s">
        <v>15</v>
      </c>
      <c r="D102" s="6" t="s">
        <v>15</v>
      </c>
      <c r="E102">
        <v>67.3</v>
      </c>
      <c r="F102">
        <v>72.9</v>
      </c>
      <c r="G102">
        <v>69.1</v>
      </c>
      <c r="H102">
        <v>69.1</v>
      </c>
      <c r="I102">
        <v>68.5</v>
      </c>
      <c r="J102">
        <v>65.3</v>
      </c>
    </row>
    <row r="103" spans="1:10" ht="12.75">
      <c r="A103" t="s">
        <v>219</v>
      </c>
      <c r="B103" t="s">
        <v>220</v>
      </c>
      <c r="C103" s="6">
        <v>150</v>
      </c>
      <c r="D103" s="6">
        <v>1</v>
      </c>
      <c r="E103">
        <v>77</v>
      </c>
      <c r="F103"/>
      <c r="G103"/>
      <c r="H103"/>
      <c r="I103"/>
      <c r="J103"/>
    </row>
    <row r="104" spans="1:10" ht="12.75">
      <c r="A104" t="s">
        <v>221</v>
      </c>
      <c r="B104" t="s">
        <v>222</v>
      </c>
      <c r="C104" s="6">
        <v>260</v>
      </c>
      <c r="D104" s="6">
        <v>2</v>
      </c>
      <c r="E104">
        <v>78</v>
      </c>
      <c r="F104">
        <v>83.5</v>
      </c>
      <c r="G104">
        <v>79.5</v>
      </c>
      <c r="H104">
        <v>79.5</v>
      </c>
      <c r="I104">
        <v>77.5</v>
      </c>
      <c r="J104">
        <v>73.2</v>
      </c>
    </row>
    <row r="105" spans="1:10" ht="12.75">
      <c r="A105" t="s">
        <v>223</v>
      </c>
      <c r="B105" t="s">
        <v>224</v>
      </c>
      <c r="C105" s="6">
        <v>280</v>
      </c>
      <c r="D105" s="6">
        <v>2</v>
      </c>
      <c r="E105">
        <v>73.9</v>
      </c>
      <c r="F105">
        <v>79.6</v>
      </c>
      <c r="G105">
        <v>76.5</v>
      </c>
      <c r="H105">
        <v>76.5</v>
      </c>
      <c r="I105">
        <v>72.3</v>
      </c>
      <c r="J105">
        <v>69</v>
      </c>
    </row>
    <row r="106" spans="1:10" ht="12.75">
      <c r="A106" t="s">
        <v>225</v>
      </c>
      <c r="B106" t="s">
        <v>226</v>
      </c>
      <c r="C106" s="6">
        <v>290</v>
      </c>
      <c r="D106" s="6">
        <v>2</v>
      </c>
      <c r="E106">
        <v>69</v>
      </c>
      <c r="F106">
        <v>74.1</v>
      </c>
      <c r="G106">
        <v>72.2</v>
      </c>
      <c r="H106">
        <v>72.2</v>
      </c>
      <c r="I106">
        <v>68.1</v>
      </c>
      <c r="J106">
        <v>62.6</v>
      </c>
    </row>
    <row r="107" spans="1:10" ht="12.75">
      <c r="A107" t="s">
        <v>227</v>
      </c>
      <c r="B107" t="s">
        <v>228</v>
      </c>
      <c r="C107" s="6" t="s">
        <v>15</v>
      </c>
      <c r="D107" s="6" t="s">
        <v>15</v>
      </c>
      <c r="E107">
        <v>66.5</v>
      </c>
      <c r="F107">
        <v>72.1</v>
      </c>
      <c r="G107">
        <v>68.6</v>
      </c>
      <c r="H107">
        <v>68.6</v>
      </c>
      <c r="I107">
        <v>66.5</v>
      </c>
      <c r="J107">
        <v>61.2</v>
      </c>
    </row>
    <row r="108" spans="1:10" ht="12.75">
      <c r="A108" t="s">
        <v>229</v>
      </c>
      <c r="B108" t="s">
        <v>230</v>
      </c>
      <c r="C108" s="6">
        <v>300</v>
      </c>
      <c r="D108" s="6">
        <v>2</v>
      </c>
      <c r="E108">
        <v>65</v>
      </c>
      <c r="F108">
        <v>70.4</v>
      </c>
      <c r="G108">
        <v>67.3</v>
      </c>
      <c r="H108">
        <v>67.3</v>
      </c>
      <c r="I108">
        <v>65.2</v>
      </c>
      <c r="J108">
        <v>60.8</v>
      </c>
    </row>
    <row r="109" spans="1:10" ht="12.75">
      <c r="A109" t="s">
        <v>231</v>
      </c>
      <c r="B109" t="s">
        <v>232</v>
      </c>
      <c r="C109" s="6">
        <v>300</v>
      </c>
      <c r="D109" s="6">
        <v>2</v>
      </c>
      <c r="E109">
        <v>63.8</v>
      </c>
      <c r="F109">
        <v>67.1</v>
      </c>
      <c r="G109">
        <v>65</v>
      </c>
      <c r="H109">
        <v>65</v>
      </c>
      <c r="I109">
        <v>63.6</v>
      </c>
      <c r="J109">
        <v>59.8</v>
      </c>
    </row>
    <row r="110" spans="1:10" ht="12.75">
      <c r="A110" t="s">
        <v>233</v>
      </c>
      <c r="B110" t="s">
        <v>234</v>
      </c>
      <c r="C110" s="6" t="s">
        <v>15</v>
      </c>
      <c r="D110" s="6" t="s">
        <v>15</v>
      </c>
      <c r="E110">
        <v>68.2</v>
      </c>
      <c r="F110">
        <v>72.7</v>
      </c>
      <c r="G110">
        <v>70.6</v>
      </c>
      <c r="H110">
        <v>70.6</v>
      </c>
      <c r="I110">
        <v>67.5</v>
      </c>
      <c r="J110">
        <v>64.9</v>
      </c>
    </row>
    <row r="111" spans="1:10" ht="12.75">
      <c r="A111" t="s">
        <v>235</v>
      </c>
      <c r="B111" t="s">
        <v>236</v>
      </c>
      <c r="C111" s="6" t="s">
        <v>15</v>
      </c>
      <c r="D111" s="6" t="s">
        <v>15</v>
      </c>
      <c r="E111">
        <v>69.5</v>
      </c>
      <c r="F111">
        <v>73.5</v>
      </c>
      <c r="G111">
        <v>71.4</v>
      </c>
      <c r="H111">
        <v>71.4</v>
      </c>
      <c r="I111">
        <v>68.9</v>
      </c>
      <c r="J111">
        <v>65.9</v>
      </c>
    </row>
    <row r="112" spans="1:10" ht="12.75">
      <c r="A112" t="s">
        <v>237</v>
      </c>
      <c r="B112" t="s">
        <v>29</v>
      </c>
      <c r="C112" s="6" t="s">
        <v>15</v>
      </c>
      <c r="D112" s="6" t="s">
        <v>15</v>
      </c>
      <c r="E112"/>
      <c r="F112"/>
      <c r="G112"/>
      <c r="H112"/>
      <c r="I112"/>
      <c r="J112"/>
    </row>
    <row r="113" spans="1:10" ht="12.75">
      <c r="A113" t="s">
        <v>238</v>
      </c>
      <c r="B113" t="s">
        <v>239</v>
      </c>
      <c r="C113" s="6" t="s">
        <v>15</v>
      </c>
      <c r="D113" s="6" t="s">
        <v>15</v>
      </c>
      <c r="E113">
        <v>60.7</v>
      </c>
      <c r="F113">
        <v>66</v>
      </c>
      <c r="G113">
        <v>63</v>
      </c>
      <c r="H113">
        <v>63</v>
      </c>
      <c r="I113">
        <v>61.2</v>
      </c>
      <c r="J113">
        <v>58</v>
      </c>
    </row>
    <row r="114" spans="1:10" ht="12.75">
      <c r="A114" t="s">
        <v>240</v>
      </c>
      <c r="B114" t="s">
        <v>241</v>
      </c>
      <c r="C114" s="6" t="s">
        <v>15</v>
      </c>
      <c r="D114" s="6" t="s">
        <v>15</v>
      </c>
      <c r="E114">
        <v>79.5</v>
      </c>
      <c r="F114"/>
      <c r="G114"/>
      <c r="H114"/>
      <c r="I114">
        <v>76.6</v>
      </c>
      <c r="J114"/>
    </row>
    <row r="115" spans="1:10" ht="12.75">
      <c r="A115" t="s">
        <v>242</v>
      </c>
      <c r="B115" t="s">
        <v>243</v>
      </c>
      <c r="C115" s="6" t="s">
        <v>15</v>
      </c>
      <c r="D115" s="6" t="s">
        <v>15</v>
      </c>
      <c r="E115">
        <v>75</v>
      </c>
      <c r="F115"/>
      <c r="G115"/>
      <c r="H115"/>
      <c r="I115"/>
      <c r="J115"/>
    </row>
    <row r="116" spans="1:10" ht="12.75">
      <c r="A116" t="s">
        <v>244</v>
      </c>
      <c r="B116" t="s">
        <v>245</v>
      </c>
      <c r="C116" s="6" t="s">
        <v>15</v>
      </c>
      <c r="D116" s="6" t="s">
        <v>15</v>
      </c>
      <c r="E116">
        <v>59</v>
      </c>
      <c r="F116">
        <v>62.2</v>
      </c>
      <c r="G116">
        <v>60.5</v>
      </c>
      <c r="H116">
        <v>60.5</v>
      </c>
      <c r="I116">
        <v>57.8</v>
      </c>
      <c r="J116">
        <v>55.5</v>
      </c>
    </row>
    <row r="117" spans="1:10" ht="12.75">
      <c r="A117" t="s">
        <v>246</v>
      </c>
      <c r="B117" t="s">
        <v>247</v>
      </c>
      <c r="C117" s="6" t="s">
        <v>15</v>
      </c>
      <c r="D117" s="6" t="s">
        <v>15</v>
      </c>
      <c r="E117">
        <v>63.9</v>
      </c>
      <c r="F117">
        <v>67</v>
      </c>
      <c r="G117">
        <v>65.6</v>
      </c>
      <c r="H117">
        <v>65.6</v>
      </c>
      <c r="I117">
        <v>63.1</v>
      </c>
      <c r="J117">
        <v>60.6</v>
      </c>
    </row>
    <row r="118" spans="1:10" ht="12.75">
      <c r="A118" t="s">
        <v>248</v>
      </c>
      <c r="B118" t="s">
        <v>249</v>
      </c>
      <c r="C118" s="6" t="s">
        <v>15</v>
      </c>
      <c r="D118" s="6" t="s">
        <v>15</v>
      </c>
      <c r="E118">
        <v>84.5</v>
      </c>
      <c r="F118">
        <v>90.5</v>
      </c>
      <c r="G118">
        <v>86.9</v>
      </c>
      <c r="H118">
        <v>86.9</v>
      </c>
      <c r="I118"/>
      <c r="J118"/>
    </row>
    <row r="119" spans="1:10" ht="12.75">
      <c r="A119" t="s">
        <v>250</v>
      </c>
      <c r="B119" t="s">
        <v>251</v>
      </c>
      <c r="C119" s="6" t="s">
        <v>15</v>
      </c>
      <c r="D119" s="6" t="s">
        <v>15</v>
      </c>
      <c r="E119">
        <v>76.3</v>
      </c>
      <c r="F119">
        <v>82.1</v>
      </c>
      <c r="G119">
        <v>81.1</v>
      </c>
      <c r="H119">
        <v>81.1</v>
      </c>
      <c r="I119">
        <v>76.1</v>
      </c>
      <c r="J119">
        <v>69.9</v>
      </c>
    </row>
    <row r="120" spans="1:10" ht="12.75">
      <c r="A120" t="s">
        <v>252</v>
      </c>
      <c r="B120" t="s">
        <v>253</v>
      </c>
      <c r="C120" s="6" t="s">
        <v>15</v>
      </c>
      <c r="D120" s="6" t="s">
        <v>15</v>
      </c>
      <c r="E120">
        <v>76.3</v>
      </c>
      <c r="F120">
        <v>82.1</v>
      </c>
      <c r="G120">
        <v>80.8</v>
      </c>
      <c r="H120">
        <v>80.8</v>
      </c>
      <c r="I120">
        <v>76</v>
      </c>
      <c r="J120">
        <v>69.9</v>
      </c>
    </row>
    <row r="121" spans="1:10" ht="12.75">
      <c r="A121" t="s">
        <v>254</v>
      </c>
      <c r="B121" t="s">
        <v>255</v>
      </c>
      <c r="C121" s="6" t="s">
        <v>15</v>
      </c>
      <c r="D121" s="6" t="s">
        <v>15</v>
      </c>
      <c r="E121" s="8">
        <v>75.2</v>
      </c>
      <c r="F121" s="8">
        <v>81.3</v>
      </c>
      <c r="G121">
        <v>76.5</v>
      </c>
      <c r="H121">
        <v>76.5</v>
      </c>
      <c r="I121">
        <v>73.6</v>
      </c>
      <c r="J121">
        <v>69</v>
      </c>
    </row>
    <row r="122" spans="1:10" ht="12.75">
      <c r="A122" t="s">
        <v>256</v>
      </c>
      <c r="B122" t="s">
        <v>257</v>
      </c>
      <c r="C122" s="6" t="s">
        <v>15</v>
      </c>
      <c r="D122" s="6" t="s">
        <v>15</v>
      </c>
      <c r="E122">
        <v>81.4</v>
      </c>
      <c r="F122"/>
      <c r="G122"/>
      <c r="H122"/>
      <c r="I122">
        <v>82.2</v>
      </c>
      <c r="J122" t="s">
        <v>258</v>
      </c>
    </row>
    <row r="123" spans="1:10" ht="12.75">
      <c r="A123" t="s">
        <v>259</v>
      </c>
      <c r="B123" t="s">
        <v>260</v>
      </c>
      <c r="C123" s="6" t="s">
        <v>15</v>
      </c>
      <c r="D123" s="6" t="s">
        <v>15</v>
      </c>
      <c r="E123" t="s">
        <v>261</v>
      </c>
      <c r="F123"/>
      <c r="G123"/>
      <c r="H123"/>
      <c r="I123"/>
      <c r="J123"/>
    </row>
    <row r="124" spans="1:10" ht="12.75">
      <c r="A124" t="s">
        <v>262</v>
      </c>
      <c r="B124" t="s">
        <v>263</v>
      </c>
      <c r="C124" s="6" t="s">
        <v>15</v>
      </c>
      <c r="D124" s="6" t="s">
        <v>15</v>
      </c>
      <c r="E124" t="s">
        <v>264</v>
      </c>
      <c r="F124"/>
      <c r="G124"/>
      <c r="H124"/>
      <c r="I124"/>
      <c r="J124"/>
    </row>
    <row r="125" spans="1:10" ht="12.75">
      <c r="A125" t="s">
        <v>265</v>
      </c>
      <c r="B125" t="s">
        <v>266</v>
      </c>
      <c r="C125" s="6" t="s">
        <v>15</v>
      </c>
      <c r="D125" s="6" t="s">
        <v>15</v>
      </c>
      <c r="E125" t="s">
        <v>267</v>
      </c>
      <c r="F125"/>
      <c r="G125"/>
      <c r="H125"/>
      <c r="I125"/>
      <c r="J125"/>
    </row>
    <row r="126" spans="1:10" ht="12.75">
      <c r="A126" t="s">
        <v>268</v>
      </c>
      <c r="B126" t="s">
        <v>269</v>
      </c>
      <c r="C126" s="6" t="s">
        <v>15</v>
      </c>
      <c r="D126" s="6" t="s">
        <v>15</v>
      </c>
      <c r="E126">
        <v>85</v>
      </c>
      <c r="F126">
        <v>85.6</v>
      </c>
      <c r="G126">
        <v>84.4</v>
      </c>
      <c r="H126">
        <v>84.4</v>
      </c>
      <c r="I126">
        <v>83.2</v>
      </c>
      <c r="J126"/>
    </row>
    <row r="127" spans="1:4" ht="12.75">
      <c r="A127"/>
      <c r="B127" s="9"/>
      <c r="C127" s="6"/>
      <c r="D127" s="6"/>
    </row>
    <row r="128" spans="1:4" ht="12.75">
      <c r="A128"/>
      <c r="B128" s="9"/>
      <c r="C128" s="6"/>
      <c r="D128" s="6"/>
    </row>
    <row r="129" spans="1:4" ht="12.75">
      <c r="A129"/>
      <c r="B129" s="9"/>
      <c r="C129" s="6"/>
      <c r="D129" s="6"/>
    </row>
    <row r="130" spans="1:4" ht="12.75">
      <c r="A130"/>
      <c r="B130" s="9"/>
      <c r="C130" s="6"/>
      <c r="D130" s="6"/>
    </row>
    <row r="131" spans="1:4" ht="12.75">
      <c r="A131"/>
      <c r="B131" s="9"/>
      <c r="C131" s="6"/>
      <c r="D131" s="6"/>
    </row>
    <row r="132" spans="1:4" ht="12.75">
      <c r="A132"/>
      <c r="B132" s="9"/>
      <c r="C132" s="6"/>
      <c r="D132" s="6"/>
    </row>
    <row r="133" spans="1:4" ht="12.75">
      <c r="A133"/>
      <c r="B133" s="9"/>
      <c r="C133" s="6"/>
      <c r="D133" s="6"/>
    </row>
    <row r="134" spans="1:4" ht="12.75">
      <c r="A134"/>
      <c r="B134" s="9"/>
      <c r="C134" s="6"/>
      <c r="D134" s="6"/>
    </row>
    <row r="135" spans="1:4" ht="12.75">
      <c r="A135"/>
      <c r="B135" s="9"/>
      <c r="C135" s="6"/>
      <c r="D135" s="6"/>
    </row>
    <row r="136" spans="1:4" ht="12.75">
      <c r="A136"/>
      <c r="B136" s="9"/>
      <c r="C136" s="6"/>
      <c r="D136" s="6"/>
    </row>
    <row r="137" spans="1:4" ht="12.75">
      <c r="A137"/>
      <c r="B137" s="9"/>
      <c r="C137" s="6"/>
      <c r="D137" s="6"/>
    </row>
    <row r="138" spans="1:4" ht="12.75">
      <c r="A138"/>
      <c r="B138" s="9"/>
      <c r="C138" s="6"/>
      <c r="D138" s="6"/>
    </row>
    <row r="139" spans="1:4" ht="12.75">
      <c r="A139"/>
      <c r="B139" s="9"/>
      <c r="C139" s="6"/>
      <c r="D139" s="6"/>
    </row>
    <row r="140" spans="1:4" ht="12.75">
      <c r="A140"/>
      <c r="B140" s="9"/>
      <c r="C140" s="6"/>
      <c r="D140" s="6"/>
    </row>
    <row r="141" spans="1:4" ht="12.75">
      <c r="A141"/>
      <c r="B141" s="9"/>
      <c r="C141" s="6"/>
      <c r="D141" s="6"/>
    </row>
    <row r="142" spans="1:4" ht="12.75">
      <c r="A142"/>
      <c r="B142" s="9"/>
      <c r="C142" s="6"/>
      <c r="D142" s="6"/>
    </row>
    <row r="143" spans="1:4" ht="12.75">
      <c r="A143"/>
      <c r="B143" s="9"/>
      <c r="C143" s="6"/>
      <c r="D143" s="6"/>
    </row>
    <row r="144" spans="1:4" ht="12.75">
      <c r="A144"/>
      <c r="B144" s="9"/>
      <c r="C144" s="6"/>
      <c r="D144" s="6"/>
    </row>
    <row r="145" spans="1:4" ht="12.75">
      <c r="A145"/>
      <c r="B145" s="9"/>
      <c r="C145" s="6"/>
      <c r="D145" s="6"/>
    </row>
    <row r="146" spans="1:4" ht="12.75">
      <c r="A146"/>
      <c r="B146" s="9"/>
      <c r="C146" s="6"/>
      <c r="D146" s="6"/>
    </row>
    <row r="147" spans="1:4" ht="12.75">
      <c r="A147"/>
      <c r="B147" s="9"/>
      <c r="C147" s="6"/>
      <c r="D147" s="6"/>
    </row>
    <row r="148" spans="1:4" ht="12.75">
      <c r="A148"/>
      <c r="B148" s="9"/>
      <c r="C148" s="6"/>
      <c r="D148" s="6"/>
    </row>
    <row r="149" spans="1:4" ht="12.75">
      <c r="A149"/>
      <c r="B149" s="9"/>
      <c r="C149" s="6"/>
      <c r="D149" s="10"/>
    </row>
    <row r="150" spans="1:4" ht="12.75">
      <c r="A150"/>
      <c r="B150" s="9"/>
      <c r="C150" s="6"/>
      <c r="D150" s="6"/>
    </row>
    <row r="151" spans="1:4" ht="12.75">
      <c r="A151"/>
      <c r="B151" s="9"/>
      <c r="C151" s="6"/>
      <c r="D151" s="6"/>
    </row>
    <row r="152" spans="1:4" ht="12.75">
      <c r="A152"/>
      <c r="B152" s="9"/>
      <c r="C152" s="6"/>
      <c r="D152" s="6"/>
    </row>
    <row r="153" spans="1:4" ht="12.75">
      <c r="A153"/>
      <c r="B153" s="9"/>
      <c r="C153" s="6"/>
      <c r="D153" s="6"/>
    </row>
    <row r="154" spans="1:4" ht="12.75">
      <c r="A154"/>
      <c r="B154" s="9"/>
      <c r="C154" s="6"/>
      <c r="D154" s="6"/>
    </row>
    <row r="155" spans="1:4" ht="12.75">
      <c r="A155"/>
      <c r="B155" s="9"/>
      <c r="C155" s="6"/>
      <c r="D155" s="6"/>
    </row>
    <row r="156" spans="1:4" ht="12.75">
      <c r="A156"/>
      <c r="B156" s="9"/>
      <c r="C156" s="6"/>
      <c r="D156" s="6"/>
    </row>
    <row r="157" spans="1:10" ht="12.75">
      <c r="A157"/>
      <c r="B157" s="9"/>
      <c r="C157" s="6"/>
      <c r="D157" s="6"/>
      <c r="E157" s="11"/>
      <c r="F157" s="11"/>
      <c r="G157" s="11"/>
      <c r="H157" s="11"/>
      <c r="I157" s="11"/>
      <c r="J157" s="11"/>
    </row>
    <row r="158" spans="1:4" ht="12.75">
      <c r="A158"/>
      <c r="B158" s="9"/>
      <c r="C158" s="6"/>
      <c r="D158" s="6"/>
    </row>
    <row r="159" spans="1:4" ht="12.75">
      <c r="A159"/>
      <c r="B159" s="9"/>
      <c r="C159" s="6"/>
      <c r="D159" s="6"/>
    </row>
    <row r="160" spans="1:4" ht="12.75">
      <c r="A160"/>
      <c r="B160" s="9"/>
      <c r="C160" s="6"/>
      <c r="D160" s="6"/>
    </row>
    <row r="161" spans="1:4" ht="12.75">
      <c r="A161"/>
      <c r="B161" s="9"/>
      <c r="C161" s="6"/>
      <c r="D161" s="6"/>
    </row>
    <row r="162" spans="1:5" ht="12.75">
      <c r="A162"/>
      <c r="B162" s="9" t="s">
        <v>266</v>
      </c>
      <c r="C162" s="6" t="s">
        <v>15</v>
      </c>
      <c r="D162" s="6" t="s">
        <v>15</v>
      </c>
      <c r="E162" s="7">
        <v>76.5</v>
      </c>
    </row>
    <row r="163" spans="1:10" ht="12.75">
      <c r="A163"/>
      <c r="B163" s="9"/>
      <c r="C163" s="6"/>
      <c r="D163" s="6"/>
      <c r="E163" s="7" t="s">
        <v>270</v>
      </c>
      <c r="F163" s="7" t="s">
        <v>270</v>
      </c>
      <c r="G163" s="7" t="s">
        <v>270</v>
      </c>
      <c r="H163" s="7" t="s">
        <v>270</v>
      </c>
      <c r="I163" s="7" t="s">
        <v>270</v>
      </c>
      <c r="J163" s="7" t="s">
        <v>270</v>
      </c>
    </row>
    <row r="164" spans="1:10" ht="12.75">
      <c r="A164"/>
      <c r="E164"/>
      <c r="F164"/>
      <c r="G164"/>
      <c r="H164"/>
      <c r="I164"/>
      <c r="J164"/>
    </row>
    <row r="165" spans="1:10" ht="12.75">
      <c r="A165"/>
      <c r="E165"/>
      <c r="F165"/>
      <c r="G165"/>
      <c r="H165"/>
      <c r="I165"/>
      <c r="J165"/>
    </row>
    <row r="166" spans="5:10" ht="12.75">
      <c r="E166"/>
      <c r="F166"/>
      <c r="G166"/>
      <c r="H166"/>
      <c r="I166"/>
      <c r="J166"/>
    </row>
    <row r="167" spans="5:10" ht="12.75">
      <c r="E167"/>
      <c r="F167"/>
      <c r="G167"/>
      <c r="H167"/>
      <c r="I167"/>
      <c r="J167"/>
    </row>
    <row r="168" spans="5:10" ht="12.75">
      <c r="E168"/>
      <c r="F168"/>
      <c r="G168"/>
      <c r="H168"/>
      <c r="I168"/>
      <c r="J168"/>
    </row>
    <row r="169" spans="5:10" ht="12.75">
      <c r="E169"/>
      <c r="F169"/>
      <c r="G169"/>
      <c r="H169"/>
      <c r="I169"/>
      <c r="J169"/>
    </row>
    <row r="170" spans="5:10" ht="12.75">
      <c r="E170"/>
      <c r="F170"/>
      <c r="G170"/>
      <c r="H170"/>
      <c r="I170"/>
      <c r="J170"/>
    </row>
    <row r="171" spans="5:10" ht="12.75">
      <c r="E171"/>
      <c r="F171"/>
      <c r="G171"/>
      <c r="H171"/>
      <c r="I171"/>
      <c r="J171"/>
    </row>
    <row r="172" spans="5:10" ht="12.75">
      <c r="E172"/>
      <c r="F172"/>
      <c r="G172"/>
      <c r="H172"/>
      <c r="I172"/>
      <c r="J172"/>
    </row>
    <row r="173" spans="5:10" ht="12.75">
      <c r="E173"/>
      <c r="F173"/>
      <c r="G173"/>
      <c r="H173"/>
      <c r="I173"/>
      <c r="J17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8">
      <selection activeCell="F24" sqref="F24"/>
    </sheetView>
  </sheetViews>
  <sheetFormatPr defaultColWidth="9.140625" defaultRowHeight="12.75"/>
  <cols>
    <col min="1" max="1" width="30.7109375" style="12" customWidth="1"/>
  </cols>
  <sheetData>
    <row r="1" spans="1:8" ht="12.75">
      <c r="A1" s="13" t="s">
        <v>5</v>
      </c>
      <c r="B1" s="5" t="s">
        <v>271</v>
      </c>
      <c r="C1" s="5" t="s">
        <v>272</v>
      </c>
      <c r="D1" s="5" t="s">
        <v>273</v>
      </c>
      <c r="E1" s="5" t="s">
        <v>274</v>
      </c>
      <c r="F1" s="5" t="s">
        <v>274</v>
      </c>
      <c r="G1" s="5" t="s">
        <v>275</v>
      </c>
      <c r="H1" s="5" t="s">
        <v>276</v>
      </c>
    </row>
    <row r="2" spans="1:8" ht="12.75">
      <c r="A2" s="1" t="s">
        <v>418</v>
      </c>
      <c r="B2" s="1" t="s">
        <v>337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417</v>
      </c>
    </row>
    <row r="3" spans="1:8" ht="42" customHeight="1">
      <c r="A3" s="12" t="s">
        <v>277</v>
      </c>
      <c r="B3" t="s">
        <v>278</v>
      </c>
      <c r="C3" s="14">
        <v>0.995</v>
      </c>
      <c r="D3" s="14">
        <v>1.005</v>
      </c>
      <c r="E3" s="14">
        <v>1</v>
      </c>
      <c r="F3" s="14">
        <v>1</v>
      </c>
      <c r="G3" s="14">
        <v>0.99</v>
      </c>
      <c r="H3" s="14">
        <v>0.984</v>
      </c>
    </row>
    <row r="4" spans="1:8" ht="42" customHeight="1">
      <c r="A4" s="12" t="s">
        <v>279</v>
      </c>
      <c r="B4" t="s">
        <v>280</v>
      </c>
      <c r="C4" s="14">
        <v>0.972</v>
      </c>
      <c r="D4" s="14">
        <v>0.965</v>
      </c>
      <c r="E4" s="14">
        <v>0.97</v>
      </c>
      <c r="F4" s="14">
        <v>0.97</v>
      </c>
      <c r="G4" s="14">
        <v>0.972</v>
      </c>
      <c r="H4" s="14">
        <v>0.972</v>
      </c>
    </row>
    <row r="5" spans="1:8" ht="42" customHeight="1">
      <c r="A5" s="12" t="s">
        <v>281</v>
      </c>
      <c r="B5" t="s">
        <v>282</v>
      </c>
      <c r="C5" s="14">
        <v>1.003</v>
      </c>
      <c r="D5" s="14">
        <v>1.01</v>
      </c>
      <c r="E5" s="14">
        <v>1.007</v>
      </c>
      <c r="F5" s="14">
        <v>1.007</v>
      </c>
      <c r="G5" s="14">
        <v>1.003</v>
      </c>
      <c r="H5" s="14">
        <v>1</v>
      </c>
    </row>
    <row r="6" spans="1:8" ht="42" customHeight="1">
      <c r="A6" s="12" t="s">
        <v>283</v>
      </c>
      <c r="B6" t="s">
        <v>284</v>
      </c>
      <c r="C6" s="14">
        <v>1.006</v>
      </c>
      <c r="D6" s="14">
        <v>1.02</v>
      </c>
      <c r="E6" s="14">
        <v>1.013</v>
      </c>
      <c r="F6" s="14">
        <v>1.013</v>
      </c>
      <c r="G6" s="14">
        <v>1.006</v>
      </c>
      <c r="H6" s="14">
        <v>1</v>
      </c>
    </row>
    <row r="7" spans="1:8" ht="42" customHeight="1">
      <c r="A7" s="12" t="s">
        <v>285</v>
      </c>
      <c r="B7" t="s">
        <v>286</v>
      </c>
      <c r="C7" s="14">
        <v>1.01</v>
      </c>
      <c r="D7" s="14">
        <v>1.03</v>
      </c>
      <c r="E7" s="14">
        <v>1.02</v>
      </c>
      <c r="F7" s="14">
        <v>1.02</v>
      </c>
      <c r="G7" s="14">
        <v>1.01</v>
      </c>
      <c r="H7" s="14">
        <v>1</v>
      </c>
    </row>
    <row r="8" spans="1:8" ht="42" customHeight="1">
      <c r="A8" s="12" t="s">
        <v>287</v>
      </c>
      <c r="B8" t="s">
        <v>288</v>
      </c>
      <c r="C8" s="14">
        <v>0.941</v>
      </c>
      <c r="D8" s="14">
        <v>0.94</v>
      </c>
      <c r="E8" s="14">
        <v>0.933</v>
      </c>
      <c r="F8" s="14">
        <v>0.933</v>
      </c>
      <c r="G8" s="14">
        <v>0.929</v>
      </c>
      <c r="H8" s="14">
        <v>0.938</v>
      </c>
    </row>
    <row r="9" spans="1:8" ht="42" customHeight="1">
      <c r="A9" s="12" t="s">
        <v>289</v>
      </c>
      <c r="B9" t="s">
        <v>290</v>
      </c>
      <c r="C9" s="14">
        <v>0.975</v>
      </c>
      <c r="D9" s="14">
        <v>0.965</v>
      </c>
      <c r="E9" s="14">
        <v>0.971</v>
      </c>
      <c r="F9" s="14">
        <v>0.971</v>
      </c>
      <c r="G9" s="14">
        <v>0.975</v>
      </c>
      <c r="H9" s="14">
        <v>0.975</v>
      </c>
    </row>
    <row r="10" spans="1:8" ht="42" customHeight="1">
      <c r="A10" s="12" t="s">
        <v>291</v>
      </c>
      <c r="B10" t="s">
        <v>292</v>
      </c>
      <c r="C10" s="14">
        <v>0.995</v>
      </c>
      <c r="D10" s="14">
        <v>0.984</v>
      </c>
      <c r="E10" s="14">
        <v>0.99</v>
      </c>
      <c r="F10" s="14">
        <v>0.99</v>
      </c>
      <c r="G10" s="14">
        <v>0.995</v>
      </c>
      <c r="H10" s="14">
        <v>1</v>
      </c>
    </row>
    <row r="11" spans="1:8" ht="42" customHeight="1">
      <c r="A11" s="12" t="s">
        <v>293</v>
      </c>
      <c r="B11" t="s">
        <v>294</v>
      </c>
      <c r="C11" s="14">
        <v>0.991</v>
      </c>
      <c r="D11" s="14">
        <v>0.99</v>
      </c>
      <c r="E11" s="14">
        <v>0.991</v>
      </c>
      <c r="F11" s="14">
        <v>0.991</v>
      </c>
      <c r="G11" s="14">
        <v>0.996</v>
      </c>
      <c r="H11" s="14">
        <v>0.999</v>
      </c>
    </row>
    <row r="12" spans="1:8" ht="42" customHeight="1">
      <c r="A12" s="12" t="s">
        <v>295</v>
      </c>
      <c r="B12" t="s">
        <v>296</v>
      </c>
      <c r="C12" s="14">
        <v>0.983</v>
      </c>
      <c r="D12" s="14">
        <v>0.98</v>
      </c>
      <c r="E12" s="14">
        <v>0.983</v>
      </c>
      <c r="F12" s="14">
        <v>0.983</v>
      </c>
      <c r="G12" s="14">
        <v>0.991</v>
      </c>
      <c r="H12" s="14">
        <v>0.997</v>
      </c>
    </row>
    <row r="13" spans="1:8" ht="42" customHeight="1">
      <c r="A13" s="12" t="s">
        <v>297</v>
      </c>
      <c r="B13" t="s">
        <v>298</v>
      </c>
      <c r="C13" s="14">
        <v>0.974</v>
      </c>
      <c r="D13" s="14">
        <v>0.97</v>
      </c>
      <c r="E13" s="14">
        <v>0.974</v>
      </c>
      <c r="F13" s="14">
        <v>0.974</v>
      </c>
      <c r="G13" s="14">
        <v>0.987</v>
      </c>
      <c r="H13" s="14">
        <v>0.996</v>
      </c>
    </row>
    <row r="14" spans="1:8" ht="42" customHeight="1">
      <c r="A14" s="12" t="s">
        <v>299</v>
      </c>
      <c r="B14" t="s">
        <v>300</v>
      </c>
      <c r="C14" s="14">
        <v>0.97</v>
      </c>
      <c r="D14" s="14">
        <v>0.965</v>
      </c>
      <c r="E14" s="14">
        <v>0.97</v>
      </c>
      <c r="F14" s="14">
        <v>0.97</v>
      </c>
      <c r="G14" s="14">
        <v>0.985</v>
      </c>
      <c r="H14" s="14">
        <v>0.995</v>
      </c>
    </row>
    <row r="15" spans="1:8" ht="39.75" customHeight="1">
      <c r="A15" s="12" t="s">
        <v>301</v>
      </c>
      <c r="B15" t="s">
        <v>302</v>
      </c>
      <c r="C15" s="14">
        <v>0.98</v>
      </c>
      <c r="D15" s="14">
        <v>0.969</v>
      </c>
      <c r="E15" s="14">
        <v>0.975</v>
      </c>
      <c r="F15" s="14">
        <v>0.975</v>
      </c>
      <c r="G15" s="14">
        <v>0.98</v>
      </c>
      <c r="H15" s="14">
        <v>0.985</v>
      </c>
    </row>
    <row r="16" spans="1:8" ht="52.5" customHeight="1">
      <c r="A16" s="12" t="s">
        <v>303</v>
      </c>
      <c r="B16" t="s">
        <v>304</v>
      </c>
      <c r="C16" s="14">
        <v>0.995</v>
      </c>
      <c r="D16" s="14">
        <v>0.99</v>
      </c>
      <c r="E16" s="14">
        <v>0.99</v>
      </c>
      <c r="F16" s="14">
        <v>0.99</v>
      </c>
      <c r="G16" s="14">
        <v>0.995</v>
      </c>
      <c r="H16" s="14">
        <v>0.995</v>
      </c>
    </row>
    <row r="17" spans="1:8" ht="42" customHeight="1">
      <c r="A17" s="12" t="s">
        <v>305</v>
      </c>
      <c r="B17" t="s">
        <v>306</v>
      </c>
      <c r="C17" s="14">
        <v>0.995</v>
      </c>
      <c r="D17" s="14">
        <v>0.99</v>
      </c>
      <c r="E17" s="14">
        <v>0.99</v>
      </c>
      <c r="F17" s="14">
        <v>0.99</v>
      </c>
      <c r="G17" s="14">
        <v>0.995</v>
      </c>
      <c r="H17" s="14">
        <v>0.995</v>
      </c>
    </row>
    <row r="18" spans="1:8" ht="42" customHeight="1">
      <c r="A18" s="12" t="s">
        <v>307</v>
      </c>
      <c r="B18" t="s">
        <v>308</v>
      </c>
      <c r="C18" s="14">
        <v>0.958</v>
      </c>
      <c r="D18" s="14">
        <v>0.948</v>
      </c>
      <c r="E18" s="14">
        <v>0.955</v>
      </c>
      <c r="F18" s="14">
        <v>0.955</v>
      </c>
      <c r="G18" s="14">
        <v>0.958</v>
      </c>
      <c r="H18" s="14">
        <v>0.958</v>
      </c>
    </row>
    <row r="19" spans="1:8" ht="42" customHeight="1">
      <c r="A19" s="12" t="s">
        <v>309</v>
      </c>
      <c r="B19" t="s">
        <v>310</v>
      </c>
      <c r="C19" s="14">
        <v>1.02</v>
      </c>
      <c r="D19" s="14">
        <v>1.03</v>
      </c>
      <c r="E19" s="14">
        <v>1.025</v>
      </c>
      <c r="F19" s="14">
        <v>1.025</v>
      </c>
      <c r="G19" s="14">
        <v>1.02</v>
      </c>
      <c r="H19" s="14">
        <v>1.01</v>
      </c>
    </row>
    <row r="20" spans="1:8" ht="42" customHeight="1">
      <c r="A20" s="12" t="s">
        <v>311</v>
      </c>
      <c r="B20" t="s">
        <v>312</v>
      </c>
      <c r="C20" s="14">
        <v>0.96</v>
      </c>
      <c r="D20" s="14">
        <v>0.953</v>
      </c>
      <c r="E20" s="14">
        <v>0.958</v>
      </c>
      <c r="F20" s="14">
        <v>0.958</v>
      </c>
      <c r="G20" s="14">
        <v>0.96</v>
      </c>
      <c r="H20" s="14">
        <v>0.96</v>
      </c>
    </row>
    <row r="21" spans="1:8" ht="42" customHeight="1">
      <c r="A21" s="12" t="s">
        <v>313</v>
      </c>
      <c r="B21" t="s">
        <v>314</v>
      </c>
      <c r="C21" s="14">
        <v>0.981</v>
      </c>
      <c r="D21" s="14">
        <v>1</v>
      </c>
      <c r="E21" s="14">
        <v>0.988</v>
      </c>
      <c r="F21" s="14">
        <v>0.988</v>
      </c>
      <c r="G21" s="14">
        <v>0.981</v>
      </c>
      <c r="H21" s="14">
        <v>0.963</v>
      </c>
    </row>
    <row r="22" spans="1:8" ht="42" customHeight="1">
      <c r="A22" s="12" t="s">
        <v>315</v>
      </c>
      <c r="B22" t="s">
        <v>316</v>
      </c>
      <c r="C22" s="14">
        <v>1.076</v>
      </c>
      <c r="D22" s="14">
        <v>1.075</v>
      </c>
      <c r="E22" s="14">
        <v>1.083</v>
      </c>
      <c r="F22" s="14">
        <v>1.083</v>
      </c>
      <c r="G22" s="14">
        <v>1.076</v>
      </c>
      <c r="H22" s="14">
        <v>1.06</v>
      </c>
    </row>
    <row r="23" spans="1:8" ht="42" customHeight="1">
      <c r="A23" s="12" t="s">
        <v>317</v>
      </c>
      <c r="B23" t="s">
        <v>318</v>
      </c>
      <c r="C23" s="14">
        <v>1.026</v>
      </c>
      <c r="D23" s="14">
        <v>1.036</v>
      </c>
      <c r="E23" s="14">
        <v>1.03</v>
      </c>
      <c r="F23" s="14">
        <v>1.03</v>
      </c>
      <c r="G23" s="14">
        <v>1.026</v>
      </c>
      <c r="H23" s="14">
        <v>1.026</v>
      </c>
    </row>
    <row r="24" spans="1:8" ht="12.75">
      <c r="A24" s="12" t="s">
        <v>454</v>
      </c>
      <c r="B24" t="s">
        <v>455</v>
      </c>
      <c r="C24" s="14">
        <v>1</v>
      </c>
      <c r="D24" s="14">
        <v>1</v>
      </c>
      <c r="E24" s="14">
        <v>1</v>
      </c>
      <c r="F24" s="14">
        <v>1</v>
      </c>
      <c r="G24" s="14">
        <v>0.995</v>
      </c>
      <c r="H24" s="14">
        <v>0.995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2012-05-07T02:59:01Z</dcterms:modified>
  <cp:category/>
  <cp:version/>
  <cp:contentType/>
  <cp:contentStatus/>
</cp:coreProperties>
</file>